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olders\Lee projects\Papers\Rural Version\"/>
    </mc:Choice>
  </mc:AlternateContent>
  <bookViews>
    <workbookView xWindow="0" yWindow="0" windowWidth="14170" windowHeight="6560" tabRatio="705" activeTab="1"/>
  </bookViews>
  <sheets>
    <sheet name="Analysis" sheetId="6" r:id="rId1"/>
    <sheet name="ratio3" sheetId="15" r:id="rId2"/>
    <sheet name="ratio3.5" sheetId="10" r:id="rId3"/>
    <sheet name="ratio4" sheetId="3" r:id="rId4"/>
    <sheet name="passengers info" sheetId="5" r:id="rId5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5" l="1"/>
  <c r="P20" i="15"/>
  <c r="O20" i="15" l="1"/>
  <c r="M20" i="15"/>
  <c r="Q21" i="15" l="1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4" i="15"/>
  <c r="P5" i="15" l="1"/>
  <c r="P6" i="15"/>
  <c r="P7" i="15"/>
  <c r="P8" i="15"/>
  <c r="P9" i="15"/>
  <c r="P10" i="15"/>
  <c r="P11" i="15"/>
  <c r="P12" i="15"/>
  <c r="P13" i="15"/>
  <c r="P14" i="15"/>
  <c r="P15" i="15"/>
  <c r="P16" i="15"/>
  <c r="P17" i="15"/>
  <c r="P18" i="15"/>
  <c r="P19" i="15"/>
  <c r="K23" i="15"/>
  <c r="K22" i="15"/>
  <c r="K21" i="15"/>
  <c r="P3" i="15"/>
  <c r="C19" i="3" l="1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4" i="3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4" i="10"/>
  <c r="M5" i="15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4" i="15"/>
  <c r="J4" i="5"/>
  <c r="J5" i="5"/>
  <c r="J6" i="5"/>
  <c r="K6" i="10"/>
  <c r="J20" i="15" l="1"/>
  <c r="I20" i="15"/>
  <c r="H20" i="15"/>
  <c r="G20" i="15"/>
  <c r="B3" i="6" s="1"/>
  <c r="F20" i="15"/>
  <c r="E20" i="15"/>
  <c r="D20" i="15"/>
  <c r="K19" i="15"/>
  <c r="C19" i="15"/>
  <c r="K18" i="15"/>
  <c r="C18" i="15"/>
  <c r="K17" i="15"/>
  <c r="C17" i="15"/>
  <c r="K16" i="15"/>
  <c r="C16" i="15"/>
  <c r="K15" i="15"/>
  <c r="C15" i="15"/>
  <c r="K14" i="15"/>
  <c r="C14" i="15"/>
  <c r="K13" i="15"/>
  <c r="C13" i="15"/>
  <c r="K12" i="15"/>
  <c r="C12" i="15"/>
  <c r="K11" i="15"/>
  <c r="C11" i="15"/>
  <c r="K10" i="15"/>
  <c r="C10" i="15"/>
  <c r="K9" i="15"/>
  <c r="C9" i="15"/>
  <c r="K8" i="15"/>
  <c r="C8" i="15"/>
  <c r="K7" i="15"/>
  <c r="C7" i="15"/>
  <c r="K6" i="15"/>
  <c r="C6" i="15"/>
  <c r="K5" i="15"/>
  <c r="C5" i="15"/>
  <c r="K4" i="15"/>
  <c r="C4" i="15"/>
  <c r="J20" i="10"/>
  <c r="I20" i="10"/>
  <c r="H20" i="10"/>
  <c r="G20" i="10"/>
  <c r="B4" i="6" s="1"/>
  <c r="F20" i="10"/>
  <c r="E20" i="10"/>
  <c r="D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5" i="10"/>
  <c r="K4" i="10"/>
  <c r="J20" i="3"/>
  <c r="I20" i="3"/>
  <c r="H20" i="3"/>
  <c r="G20" i="3"/>
  <c r="B5" i="6" s="1"/>
  <c r="F20" i="3"/>
  <c r="E20" i="3"/>
  <c r="D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L4" i="10" l="1"/>
  <c r="C20" i="15"/>
  <c r="C20" i="3"/>
  <c r="L12" i="10"/>
  <c r="D3" i="6"/>
  <c r="C3" i="6" s="1"/>
  <c r="C9" i="6"/>
  <c r="E9" i="6" s="1"/>
  <c r="D4" i="6"/>
  <c r="C4" i="6" s="1"/>
  <c r="C10" i="6"/>
  <c r="E10" i="6" s="1"/>
  <c r="E4" i="6"/>
  <c r="B10" i="6"/>
  <c r="D10" i="6" s="1"/>
  <c r="D5" i="6"/>
  <c r="C5" i="6" s="1"/>
  <c r="C11" i="6"/>
  <c r="E11" i="6" s="1"/>
  <c r="E5" i="6"/>
  <c r="B11" i="6"/>
  <c r="D11" i="6" s="1"/>
  <c r="E3" i="6"/>
  <c r="B9" i="6"/>
  <c r="D9" i="6" s="1"/>
  <c r="L16" i="3"/>
  <c r="C20" i="10"/>
  <c r="N8" i="15"/>
  <c r="N12" i="15"/>
  <c r="N16" i="15"/>
  <c r="N16" i="3"/>
  <c r="L16" i="10"/>
  <c r="N16" i="10"/>
  <c r="L16" i="15"/>
  <c r="L12" i="15"/>
  <c r="N12" i="10"/>
  <c r="L12" i="3"/>
  <c r="N12" i="3"/>
  <c r="L8" i="3"/>
  <c r="N8" i="3"/>
  <c r="L8" i="10"/>
  <c r="L8" i="15"/>
  <c r="N8" i="10"/>
  <c r="L4" i="3"/>
  <c r="M20" i="3"/>
  <c r="N4" i="3"/>
  <c r="M20" i="10"/>
  <c r="N4" i="10"/>
  <c r="L4" i="15"/>
  <c r="N4" i="15"/>
  <c r="F10" i="6" l="1"/>
  <c r="F9" i="6"/>
  <c r="F11" i="6"/>
  <c r="N20" i="15"/>
  <c r="I3" i="6" s="1"/>
  <c r="L20" i="10"/>
  <c r="G4" i="6" s="1"/>
  <c r="N20" i="10"/>
  <c r="I4" i="6" s="1"/>
  <c r="L20" i="3"/>
  <c r="G5" i="6" s="1"/>
  <c r="L20" i="15"/>
  <c r="G3" i="6" s="1"/>
  <c r="N20" i="3"/>
  <c r="I5" i="6" s="1"/>
  <c r="J3" i="5" l="1"/>
  <c r="J7" i="5" s="1"/>
  <c r="F3" i="6" l="1"/>
  <c r="H3" i="6" s="1"/>
  <c r="F5" i="6"/>
  <c r="H5" i="6" s="1"/>
  <c r="F4" i="6"/>
  <c r="H4" i="6" s="1"/>
</calcChain>
</file>

<file path=xl/sharedStrings.xml><?xml version="1.0" encoding="utf-8"?>
<sst xmlns="http://schemas.openxmlformats.org/spreadsheetml/2006/main" count="169" uniqueCount="68">
  <si>
    <t>Train</t>
  </si>
  <si>
    <t>Station</t>
  </si>
  <si>
    <t>Alighting Passengers</t>
  </si>
  <si>
    <t>Total Passengers</t>
  </si>
  <si>
    <t>Available Buses</t>
  </si>
  <si>
    <t>Used Buses</t>
  </si>
  <si>
    <t>#1</t>
  </si>
  <si>
    <t>#2</t>
  </si>
  <si>
    <t>#3</t>
  </si>
  <si>
    <t>#4</t>
  </si>
  <si>
    <t>Total</t>
  </si>
  <si>
    <t>Average passenger distance travelled to each station (Km)</t>
  </si>
  <si>
    <t>Total passenger average distance travelled (Km)</t>
  </si>
  <si>
    <t>Boarding Passengers</t>
  </si>
  <si>
    <t>Relocation Buses</t>
  </si>
  <si>
    <t xml:space="preserve"> (+,-)</t>
  </si>
  <si>
    <t>Vehicle travelled Distance (Km)</t>
  </si>
  <si>
    <t>Passengers status in stations</t>
  </si>
  <si>
    <t>Station 1</t>
  </si>
  <si>
    <t>Station 2</t>
  </si>
  <si>
    <t>Station 3</t>
  </si>
  <si>
    <t>Station 4</t>
  </si>
  <si>
    <t>Average total direct distance (Km)</t>
  </si>
  <si>
    <r>
      <t>(B/L)</t>
    </r>
    <r>
      <rPr>
        <sz val="8"/>
        <color theme="1"/>
        <rFont val="Times New Roman"/>
        <family val="1"/>
      </rPr>
      <t> </t>
    </r>
  </si>
  <si>
    <t>(B/L)</t>
  </si>
  <si>
    <t>Average direct  distance (Km)</t>
  </si>
  <si>
    <t>Train 1</t>
  </si>
  <si>
    <t>Train 2</t>
  </si>
  <si>
    <t>Train 3</t>
  </si>
  <si>
    <t>Train 4</t>
  </si>
  <si>
    <t>Average passenger total direct distance (Km)</t>
  </si>
  <si>
    <r>
      <t> </t>
    </r>
    <r>
      <rPr>
        <sz val="10"/>
        <color theme="1"/>
        <rFont val="Times New Roman"/>
        <family val="1"/>
      </rPr>
      <t>Boarding/Alighting (prs)</t>
    </r>
  </si>
  <si>
    <t>Models</t>
  </si>
  <si>
    <t>Total used buses</t>
  </si>
  <si>
    <t>Average vehicles travelled distance (Km) </t>
  </si>
  <si>
    <t>Total vehicles travelled distance (Km)</t>
  </si>
  <si>
    <t>Average passengers total travel time (h)</t>
  </si>
  <si>
    <t xml:space="preserve">Circuity of passenger travels due to feeder bus routings </t>
  </si>
  <si>
    <t>With ratio of 3</t>
  </si>
  <si>
    <t>With ratio of 4</t>
  </si>
  <si>
    <t>cost</t>
  </si>
  <si>
    <t>total cost</t>
  </si>
  <si>
    <t>With ratio of 3.5</t>
  </si>
  <si>
    <t>Total Cost</t>
  </si>
  <si>
    <t>13+7</t>
  </si>
  <si>
    <t>12+18</t>
  </si>
  <si>
    <t>Average direct distance (Km)</t>
  </si>
  <si>
    <t>Total Passenger travel time (hour)</t>
  </si>
  <si>
    <t>24+21</t>
  </si>
  <si>
    <t>16+14</t>
  </si>
  <si>
    <t>revised time value 20</t>
  </si>
  <si>
    <t>Revised Time value 20</t>
  </si>
  <si>
    <t>Total vehicle travel distance (km)</t>
  </si>
  <si>
    <t>Total passenger travel time (h)</t>
  </si>
  <si>
    <t>Total passenger travel Cost($)</t>
  </si>
  <si>
    <t>Total vehicle operation cost ($)</t>
  </si>
  <si>
    <t>Total Cost ($)</t>
  </si>
  <si>
    <t>10+20</t>
  </si>
  <si>
    <t>17+13</t>
  </si>
  <si>
    <t>13+17</t>
  </si>
  <si>
    <t>8+12</t>
  </si>
  <si>
    <t>15+25</t>
  </si>
  <si>
    <t>15+20</t>
  </si>
  <si>
    <t>10+15</t>
  </si>
  <si>
    <t>20+20</t>
  </si>
  <si>
    <t>7+8</t>
  </si>
  <si>
    <t>18+12</t>
  </si>
  <si>
    <t>14+16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</si>
</sst>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u/>
      <sz val="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rgb="FFFFFFFF"/>
      </left>
      <right/>
      <top style="medium">
        <color indexed="64"/>
      </top>
      <bottom style="medium">
        <color indexed="64"/>
      </bottom>
      <diagonal/>
    </border>
    <border>
      <left style="medium">
        <color rgb="FFFFFFFF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Total Cost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Analysis!$A$9:$A$11</c:f>
              <c:strCache>
                <c:ptCount val="3"/>
                <c:pt idx="0">
                  <c:v>With ratio of 3</c:v>
                </c:pt>
                <c:pt idx="1">
                  <c:v>With ratio of 3.5</c:v>
                </c:pt>
                <c:pt idx="2">
                  <c:v>With ratio of 4</c:v>
                </c:pt>
              </c:strCache>
            </c:strRef>
          </c:cat>
          <c:val>
            <c:numRef>
              <c:f>Analysis!$I$3:$I$5</c:f>
              <c:numCache>
                <c:formatCode>0.00</c:formatCode>
                <c:ptCount val="3"/>
                <c:pt idx="0">
                  <c:v>997.44050000000004</c:v>
                </c:pt>
                <c:pt idx="1">
                  <c:v>986.19350000000009</c:v>
                </c:pt>
                <c:pt idx="2">
                  <c:v>980.81550000000004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40D-40C7-8F4C-FFB57FF73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292751"/>
        <c:axId val="1148290671"/>
        <c:extLst>
          <c:ext xmlns:c15="http://schemas.microsoft.com/office/drawing/2012/chart" uri="{02D57815-91ED-43cb-92C2-25804820EDAC}">
            <c15:filteredLineSeries>
              <c15:ser>
                <c:idx val="0"/>
                <c:order val="1"/>
                <c:tx>
                  <c:v>Total vehicle operation cost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Analysis!$A$9:$A$11</c15:sqref>
                        </c15:formulaRef>
                      </c:ext>
                    </c:extLst>
                    <c:strCache>
                      <c:ptCount val="3"/>
                      <c:pt idx="0">
                        <c:v>With ratio of 3</c:v>
                      </c:pt>
                      <c:pt idx="1">
                        <c:v>With ratio of 3.5</c:v>
                      </c:pt>
                      <c:pt idx="2">
                        <c:v>With ratio of 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Analysis!$E$9:$E$11</c15:sqref>
                        </c15:formulaRef>
                      </c:ext>
                    </c:extLst>
                    <c:numCache>
                      <c:formatCode>0.000</c:formatCode>
                      <c:ptCount val="3"/>
                      <c:pt idx="0">
                        <c:v>129.79230000000001</c:v>
                      </c:pt>
                      <c:pt idx="1">
                        <c:v>128.83169999999998</c:v>
                      </c:pt>
                      <c:pt idx="2">
                        <c:v>126.69569999999999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E9E3-483A-B2C1-9F38E993E0BF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Total passenger travel cost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Analysis!$A$9:$A$11</c15:sqref>
                        </c15:formulaRef>
                      </c:ext>
                    </c:extLst>
                    <c:strCache>
                      <c:ptCount val="3"/>
                      <c:pt idx="0">
                        <c:v>With ratio of 3</c:v>
                      </c:pt>
                      <c:pt idx="1">
                        <c:v>With ratio of 3.5</c:v>
                      </c:pt>
                      <c:pt idx="2">
                        <c:v>With ratio of 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Analysis!$D$9:$D$11</c15:sqref>
                        </c15:formulaRef>
                      </c:ext>
                    </c:extLst>
                    <c:numCache>
                      <c:formatCode>0.00</c:formatCode>
                      <c:ptCount val="3"/>
                      <c:pt idx="0">
                        <c:v>781.12000000000023</c:v>
                      </c:pt>
                      <c:pt idx="1">
                        <c:v>771.47400000000005</c:v>
                      </c:pt>
                      <c:pt idx="2">
                        <c:v>769.65600000000006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9E3-483A-B2C1-9F38E993E0BF}"/>
                  </c:ext>
                </c:extLst>
              </c15:ser>
            </c15:filteredLineSeries>
          </c:ext>
        </c:extLst>
      </c:lineChart>
      <c:catAx>
        <c:axId val="114829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290671"/>
        <c:crosses val="autoZero"/>
        <c:auto val="1"/>
        <c:lblAlgn val="ctr"/>
        <c:lblOffset val="100"/>
        <c:noMultiLvlLbl val="0"/>
      </c:catAx>
      <c:valAx>
        <c:axId val="1148290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Cost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2927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43718771714891"/>
          <c:y val="4.032939036800208E-2"/>
          <c:w val="0.78632674755987109"/>
          <c:h val="0.83434407003514743"/>
        </c:manualLayout>
      </c:layout>
      <c:lineChart>
        <c:grouping val="standard"/>
        <c:varyColors val="0"/>
        <c:ser>
          <c:idx val="2"/>
          <c:order val="2"/>
          <c:tx>
            <c:v>Total passenger travel cost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Analysis!$A$9:$A$11</c:f>
              <c:strCache>
                <c:ptCount val="3"/>
                <c:pt idx="0">
                  <c:v>With ratio of 3</c:v>
                </c:pt>
                <c:pt idx="1">
                  <c:v>With ratio of 3.5</c:v>
                </c:pt>
                <c:pt idx="2">
                  <c:v>With ratio of 4</c:v>
                </c:pt>
              </c:strCache>
            </c:strRef>
          </c:cat>
          <c:val>
            <c:numRef>
              <c:f>Analysis!$D$9:$D$11</c:f>
              <c:numCache>
                <c:formatCode>0.00</c:formatCode>
                <c:ptCount val="3"/>
                <c:pt idx="0">
                  <c:v>781.12000000000023</c:v>
                </c:pt>
                <c:pt idx="1">
                  <c:v>771.47400000000005</c:v>
                </c:pt>
                <c:pt idx="2">
                  <c:v>769.65600000000006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6CBB-497A-9566-D5EC307D8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292751"/>
        <c:axId val="1148290671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v>Total Cost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noFill/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Analysis!$A$9:$A$11</c15:sqref>
                        </c15:formulaRef>
                      </c:ext>
                    </c:extLst>
                    <c:strCache>
                      <c:ptCount val="3"/>
                      <c:pt idx="0">
                        <c:v>With ratio of 3</c:v>
                      </c:pt>
                      <c:pt idx="1">
                        <c:v>With ratio of 3.5</c:v>
                      </c:pt>
                      <c:pt idx="2">
                        <c:v>With ratio of 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Analysis!$I$3:$I$5</c15:sqref>
                        </c15:formulaRef>
                      </c:ext>
                    </c:extLst>
                    <c:numCache>
                      <c:formatCode>0.00</c:formatCode>
                      <c:ptCount val="3"/>
                      <c:pt idx="0">
                        <c:v>997.44050000000004</c:v>
                      </c:pt>
                      <c:pt idx="1">
                        <c:v>986.19350000000009</c:v>
                      </c:pt>
                      <c:pt idx="2">
                        <c:v>980.81550000000004</c:v>
                      </c:pt>
                    </c:numCache>
                  </c:numRef>
                </c:val>
                <c:smooth val="1"/>
                <c:extLst>
                  <c:ext xmlns:c16="http://schemas.microsoft.com/office/drawing/2014/chart" uri="{C3380CC4-5D6E-409C-BE32-E72D297353CC}">
                    <c16:uniqueId val="{00000000-6CBB-497A-9566-D5EC307D8DC8}"/>
                  </c:ext>
                </c:extLst>
              </c15:ser>
            </c15:filteredLineSeries>
            <c15:filteredLineSeries>
              <c15:ser>
                <c:idx val="0"/>
                <c:order val="1"/>
                <c:tx>
                  <c:v>Total vehicle operation cost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Analysis!$A$9:$A$11</c15:sqref>
                        </c15:formulaRef>
                      </c:ext>
                    </c:extLst>
                    <c:strCache>
                      <c:ptCount val="3"/>
                      <c:pt idx="0">
                        <c:v>With ratio of 3</c:v>
                      </c:pt>
                      <c:pt idx="1">
                        <c:v>With ratio of 3.5</c:v>
                      </c:pt>
                      <c:pt idx="2">
                        <c:v>With ratio of 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Analysis!$E$9:$E$11</c15:sqref>
                        </c15:formulaRef>
                      </c:ext>
                    </c:extLst>
                    <c:numCache>
                      <c:formatCode>0.000</c:formatCode>
                      <c:ptCount val="3"/>
                      <c:pt idx="0">
                        <c:v>129.79230000000001</c:v>
                      </c:pt>
                      <c:pt idx="1">
                        <c:v>128.83169999999998</c:v>
                      </c:pt>
                      <c:pt idx="2">
                        <c:v>126.69569999999999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CBB-497A-9566-D5EC307D8DC8}"/>
                  </c:ext>
                </c:extLst>
              </c15:ser>
            </c15:filteredLineSeries>
          </c:ext>
        </c:extLst>
      </c:lineChart>
      <c:catAx>
        <c:axId val="114829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290671"/>
        <c:crosses val="autoZero"/>
        <c:auto val="1"/>
        <c:lblAlgn val="ctr"/>
        <c:lblOffset val="100"/>
        <c:noMultiLvlLbl val="0"/>
      </c:catAx>
      <c:valAx>
        <c:axId val="1148290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Cost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2927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7430903460614758"/>
          <c:y val="5.8438643465960331E-2"/>
          <c:w val="0.27718595649933048"/>
          <c:h val="6.186938416125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43718771714891"/>
          <c:y val="4.032939036800208E-2"/>
          <c:w val="0.7702278932275215"/>
          <c:h val="0.83434407003514743"/>
        </c:manualLayout>
      </c:layout>
      <c:lineChart>
        <c:grouping val="standard"/>
        <c:varyColors val="0"/>
        <c:ser>
          <c:idx val="0"/>
          <c:order val="1"/>
          <c:tx>
            <c:v>Total vehicle operation cost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Analysis!$A$9:$A$11</c:f>
              <c:strCache>
                <c:ptCount val="3"/>
                <c:pt idx="0">
                  <c:v>With ratio of 3</c:v>
                </c:pt>
                <c:pt idx="1">
                  <c:v>With ratio of 3.5</c:v>
                </c:pt>
                <c:pt idx="2">
                  <c:v>With ratio of 4</c:v>
                </c:pt>
              </c:strCache>
            </c:strRef>
          </c:cat>
          <c:val>
            <c:numRef>
              <c:f>Analysis!$E$9:$E$11</c:f>
              <c:numCache>
                <c:formatCode>0.000</c:formatCode>
                <c:ptCount val="3"/>
                <c:pt idx="0">
                  <c:v>129.79230000000001</c:v>
                </c:pt>
                <c:pt idx="1">
                  <c:v>128.83169999999998</c:v>
                </c:pt>
                <c:pt idx="2">
                  <c:v>126.69569999999999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D143-4C40-A32E-CAB3623FE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292751"/>
        <c:axId val="1148290671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v>Total Cost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noFill/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Analysis!$A$9:$A$11</c15:sqref>
                        </c15:formulaRef>
                      </c:ext>
                    </c:extLst>
                    <c:strCache>
                      <c:ptCount val="3"/>
                      <c:pt idx="0">
                        <c:v>With ratio of 3</c:v>
                      </c:pt>
                      <c:pt idx="1">
                        <c:v>With ratio of 3.5</c:v>
                      </c:pt>
                      <c:pt idx="2">
                        <c:v>With ratio of 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Analysis!$I$3:$I$5</c15:sqref>
                        </c15:formulaRef>
                      </c:ext>
                    </c:extLst>
                    <c:numCache>
                      <c:formatCode>0.00</c:formatCode>
                      <c:ptCount val="3"/>
                      <c:pt idx="0">
                        <c:v>997.44050000000004</c:v>
                      </c:pt>
                      <c:pt idx="1">
                        <c:v>986.19350000000009</c:v>
                      </c:pt>
                      <c:pt idx="2">
                        <c:v>980.81550000000004</c:v>
                      </c:pt>
                    </c:numCache>
                  </c:numRef>
                </c:val>
                <c:smooth val="1"/>
                <c:extLst>
                  <c:ext xmlns:c16="http://schemas.microsoft.com/office/drawing/2014/chart" uri="{C3380CC4-5D6E-409C-BE32-E72D297353CC}">
                    <c16:uniqueId val="{00000000-D143-4C40-A32E-CAB3623FE624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Total passenger travel cost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Analysis!$A$9:$A$11</c15:sqref>
                        </c15:formulaRef>
                      </c:ext>
                    </c:extLst>
                    <c:strCache>
                      <c:ptCount val="3"/>
                      <c:pt idx="0">
                        <c:v>With ratio of 3</c:v>
                      </c:pt>
                      <c:pt idx="1">
                        <c:v>With ratio of 3.5</c:v>
                      </c:pt>
                      <c:pt idx="2">
                        <c:v>With ratio of 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Analysis!$D$9:$D$11</c15:sqref>
                        </c15:formulaRef>
                      </c:ext>
                    </c:extLst>
                    <c:numCache>
                      <c:formatCode>0.00</c:formatCode>
                      <c:ptCount val="3"/>
                      <c:pt idx="0">
                        <c:v>781.12000000000023</c:v>
                      </c:pt>
                      <c:pt idx="1">
                        <c:v>771.47400000000005</c:v>
                      </c:pt>
                      <c:pt idx="2">
                        <c:v>769.65600000000006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143-4C40-A32E-CAB3623FE624}"/>
                  </c:ext>
                </c:extLst>
              </c15:ser>
            </c15:filteredLineSeries>
          </c:ext>
        </c:extLst>
      </c:lineChart>
      <c:catAx>
        <c:axId val="1148292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290671"/>
        <c:crosses val="autoZero"/>
        <c:auto val="1"/>
        <c:lblAlgn val="ctr"/>
        <c:lblOffset val="100"/>
        <c:noMultiLvlLbl val="0"/>
      </c:catAx>
      <c:valAx>
        <c:axId val="1148290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Cost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2927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4054443311433835"/>
          <c:y val="5.8438643465960331E-2"/>
          <c:w val="0.28461804737478102"/>
          <c:h val="6.1869384161259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354138</xdr:colOff>
      <xdr:row>1</xdr:row>
      <xdr:rowOff>33422</xdr:rowOff>
    </xdr:from>
    <xdr:to>
      <xdr:col>19</xdr:col>
      <xdr:colOff>132979</xdr:colOff>
      <xdr:row>11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574842</xdr:colOff>
      <xdr:row>11</xdr:row>
      <xdr:rowOff>100263</xdr:rowOff>
    </xdr:from>
    <xdr:to>
      <xdr:col>20</xdr:col>
      <xdr:colOff>353684</xdr:colOff>
      <xdr:row>30</xdr:row>
      <xdr:rowOff>8238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280737</xdr:colOff>
      <xdr:row>11</xdr:row>
      <xdr:rowOff>106948</xdr:rowOff>
    </xdr:from>
    <xdr:to>
      <xdr:col>10</xdr:col>
      <xdr:colOff>600999</xdr:colOff>
      <xdr:row>30</xdr:row>
      <xdr:rowOff>14923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I11"/>
  <sheetViews>
    <sheetView zoomScale="95" zoomScaleNormal="130" workbookViewId="0">
      <selection activeCell="F3" sqref="F3"/>
    </sheetView>
  </sheetViews>
  <sheetFormatPr defaultRowHeight="14.5" x14ac:dyDescent="0.35"/>
  <cols>
    <col min="1" max="1" width="10.90625" bestFit="1" customWidth="1"/>
    <col min="7" max="7" width="9.6328125" bestFit="1" customWidth="1"/>
  </cols>
  <sheetData>
    <row r="1" spans="1:9" ht="15" thickBot="1" x14ac:dyDescent="0.4">
      <c r="A1" t="s">
        <v>50</v>
      </c>
    </row>
    <row r="2" spans="1:9" ht="53" thickBot="1" x14ac:dyDescent="0.4">
      <c r="A2" s="5" t="s">
        <v>32</v>
      </c>
      <c r="B2" s="6" t="s">
        <v>33</v>
      </c>
      <c r="C2" s="6" t="s">
        <v>34</v>
      </c>
      <c r="D2" s="6" t="s">
        <v>35</v>
      </c>
      <c r="E2" s="6" t="s">
        <v>36</v>
      </c>
      <c r="F2" s="6" t="s">
        <v>30</v>
      </c>
      <c r="G2" s="6" t="s">
        <v>12</v>
      </c>
      <c r="H2" s="1" t="s">
        <v>37</v>
      </c>
      <c r="I2" s="1" t="s">
        <v>43</v>
      </c>
    </row>
    <row r="3" spans="1:9" ht="15" thickBot="1" x14ac:dyDescent="0.4">
      <c r="A3" s="13" t="s">
        <v>38</v>
      </c>
      <c r="B3" s="17">
        <f>ratio3!G20</f>
        <v>48</v>
      </c>
      <c r="C3" s="18">
        <f>D3/16</f>
        <v>27.040062500000001</v>
      </c>
      <c r="D3" s="18">
        <f>ratio3!I20</f>
        <v>432.64100000000002</v>
      </c>
      <c r="E3" s="18">
        <f>ratio3!J20/16</f>
        <v>2.4410000000000007</v>
      </c>
      <c r="F3" s="7">
        <f>'passengers info'!J$7</f>
        <v>1.5566562500000001</v>
      </c>
      <c r="G3" s="18">
        <f>ratio3!L20</f>
        <v>2.7461250000000001</v>
      </c>
      <c r="H3" s="23">
        <f>G3/F3</f>
        <v>1.7641178005741474</v>
      </c>
      <c r="I3" s="19">
        <f>ratio3!N20</f>
        <v>997.44050000000004</v>
      </c>
    </row>
    <row r="4" spans="1:9" ht="15" thickBot="1" x14ac:dyDescent="0.4">
      <c r="A4" s="22" t="s">
        <v>42</v>
      </c>
      <c r="B4" s="20">
        <f>ratio3.5!G20</f>
        <v>48</v>
      </c>
      <c r="C4" s="18">
        <f>D4/16</f>
        <v>26.839937499999998</v>
      </c>
      <c r="D4" s="18">
        <f>ratio3.5!I20</f>
        <v>429.43899999999996</v>
      </c>
      <c r="E4" s="18">
        <f>ratio3.5!J20/16</f>
        <v>2.4108562500000001</v>
      </c>
      <c r="F4" s="7">
        <f>'passengers info'!J$7</f>
        <v>1.5566562500000001</v>
      </c>
      <c r="G4" s="18">
        <f>ratio3.5!L20</f>
        <v>2.7122132812500004</v>
      </c>
      <c r="H4" s="23">
        <f>G4/F4</f>
        <v>1.7423328247646199</v>
      </c>
      <c r="I4" s="19">
        <f>ratio3.5!N20</f>
        <v>986.19350000000009</v>
      </c>
    </row>
    <row r="5" spans="1:9" ht="15" thickBot="1" x14ac:dyDescent="0.4">
      <c r="A5" s="22" t="s">
        <v>39</v>
      </c>
      <c r="B5" s="17">
        <f>ratio4!G20</f>
        <v>48</v>
      </c>
      <c r="C5" s="18">
        <f>D5/16</f>
        <v>26.394937499999997</v>
      </c>
      <c r="D5" s="18">
        <f>ratio4!I20</f>
        <v>422.31899999999996</v>
      </c>
      <c r="E5" s="18">
        <f>ratio4!J20/16</f>
        <v>2.4051750000000003</v>
      </c>
      <c r="F5" s="7">
        <f>'passengers info'!J$7</f>
        <v>1.5566562500000001</v>
      </c>
      <c r="G5" s="18">
        <f>ratio4!L20</f>
        <v>2.7058218749999998</v>
      </c>
      <c r="H5" s="23">
        <f>G5/F5</f>
        <v>1.7382269688635494</v>
      </c>
      <c r="I5" s="19">
        <f>ratio4!N20</f>
        <v>980.81550000000004</v>
      </c>
    </row>
    <row r="7" spans="1:9" ht="15" thickBot="1" x14ac:dyDescent="0.4"/>
    <row r="8" spans="1:9" ht="32" thickBot="1" x14ac:dyDescent="0.4">
      <c r="A8" s="27" t="s">
        <v>32</v>
      </c>
      <c r="B8" s="26" t="s">
        <v>53</v>
      </c>
      <c r="C8" s="26" t="s">
        <v>52</v>
      </c>
      <c r="D8" s="28" t="s">
        <v>54</v>
      </c>
      <c r="E8" s="28" t="s">
        <v>55</v>
      </c>
      <c r="F8" s="28" t="s">
        <v>56</v>
      </c>
    </row>
    <row r="9" spans="1:9" ht="15" thickBot="1" x14ac:dyDescent="0.4">
      <c r="A9" s="13" t="s">
        <v>38</v>
      </c>
      <c r="B9" s="24">
        <f>ratio3!J20</f>
        <v>39.056000000000012</v>
      </c>
      <c r="C9" s="24">
        <f>ratio3!I20</f>
        <v>432.64100000000002</v>
      </c>
      <c r="D9" s="25">
        <f>20*B9</f>
        <v>781.12000000000023</v>
      </c>
      <c r="E9" s="30">
        <f>0.3*C9</f>
        <v>129.79230000000001</v>
      </c>
      <c r="F9" s="25">
        <f>D9+E9</f>
        <v>910.91230000000019</v>
      </c>
    </row>
    <row r="10" spans="1:9" ht="15" thickBot="1" x14ac:dyDescent="0.4">
      <c r="A10" s="22" t="s">
        <v>42</v>
      </c>
      <c r="B10" s="24">
        <f>ratio3.5!J20</f>
        <v>38.573700000000002</v>
      </c>
      <c r="C10" s="24">
        <f>ratio3.5!I20</f>
        <v>429.43899999999996</v>
      </c>
      <c r="D10" s="25">
        <f>20*B10</f>
        <v>771.47400000000005</v>
      </c>
      <c r="E10" s="30">
        <f>0.3*C10</f>
        <v>128.83169999999998</v>
      </c>
      <c r="F10" s="25">
        <f>D10+E10</f>
        <v>900.3057</v>
      </c>
    </row>
    <row r="11" spans="1:9" ht="15" thickBot="1" x14ac:dyDescent="0.4">
      <c r="A11" s="22" t="s">
        <v>39</v>
      </c>
      <c r="B11" s="24">
        <f>ratio4!J20</f>
        <v>38.482800000000005</v>
      </c>
      <c r="C11" s="24">
        <f>ratio4!I20</f>
        <v>422.31899999999996</v>
      </c>
      <c r="D11" s="25">
        <f>20*B11</f>
        <v>769.65600000000006</v>
      </c>
      <c r="E11" s="30">
        <f>0.3*C11</f>
        <v>126.69569999999999</v>
      </c>
      <c r="F11" s="25">
        <f>D11+E11</f>
        <v>896.35170000000005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A7" zoomScale="111" workbookViewId="0">
      <selection activeCell="O20" sqref="O20"/>
    </sheetView>
  </sheetViews>
  <sheetFormatPr defaultRowHeight="14.5" x14ac:dyDescent="0.35"/>
  <sheetData>
    <row r="1" spans="1:17" ht="15" thickBot="1" x14ac:dyDescent="0.4">
      <c r="A1" t="s">
        <v>51</v>
      </c>
    </row>
    <row r="2" spans="1:17" ht="21" x14ac:dyDescent="0.35">
      <c r="A2" s="34" t="s">
        <v>0</v>
      </c>
      <c r="B2" s="34" t="s">
        <v>1</v>
      </c>
      <c r="C2" s="34" t="s">
        <v>13</v>
      </c>
      <c r="D2" s="34" t="s">
        <v>2</v>
      </c>
      <c r="E2" s="34" t="s">
        <v>3</v>
      </c>
      <c r="F2" s="34" t="s">
        <v>4</v>
      </c>
      <c r="G2" s="34" t="s">
        <v>5</v>
      </c>
      <c r="H2" s="15" t="s">
        <v>14</v>
      </c>
      <c r="I2" s="34" t="s">
        <v>16</v>
      </c>
      <c r="J2" s="34" t="s">
        <v>47</v>
      </c>
      <c r="K2" s="34" t="s">
        <v>11</v>
      </c>
      <c r="L2" s="34" t="s">
        <v>12</v>
      </c>
      <c r="M2" s="36" t="s">
        <v>40</v>
      </c>
      <c r="N2" s="36" t="s">
        <v>41</v>
      </c>
    </row>
    <row r="3" spans="1:17" ht="15" thickBot="1" x14ac:dyDescent="0.4">
      <c r="A3" s="35"/>
      <c r="B3" s="35"/>
      <c r="C3" s="35"/>
      <c r="D3" s="35"/>
      <c r="E3" s="35"/>
      <c r="F3" s="35"/>
      <c r="G3" s="35"/>
      <c r="H3" s="16" t="s">
        <v>15</v>
      </c>
      <c r="I3" s="35"/>
      <c r="J3" s="35"/>
      <c r="K3" s="35"/>
      <c r="L3" s="35"/>
      <c r="M3" s="37"/>
      <c r="N3" s="37"/>
      <c r="P3">
        <f>SUM(C4:D7)</f>
        <v>120</v>
      </c>
    </row>
    <row r="4" spans="1:17" ht="15" thickBot="1" x14ac:dyDescent="0.4">
      <c r="A4" s="40" t="s">
        <v>6</v>
      </c>
      <c r="B4" s="2" t="s">
        <v>6</v>
      </c>
      <c r="C4" s="2">
        <f>E4-D4</f>
        <v>10</v>
      </c>
      <c r="D4" s="2">
        <v>20</v>
      </c>
      <c r="E4" s="2">
        <v>30</v>
      </c>
      <c r="F4" s="9">
        <v>3</v>
      </c>
      <c r="G4" s="2">
        <v>3</v>
      </c>
      <c r="H4" s="2">
        <v>0</v>
      </c>
      <c r="I4" s="29">
        <v>30.151</v>
      </c>
      <c r="J4" s="8">
        <v>2.4847000000000001</v>
      </c>
      <c r="K4" s="21">
        <f>J4*45/E4</f>
        <v>3.7270500000000002</v>
      </c>
      <c r="L4" s="43">
        <f>(E4*K4+E5*K5+E6*K6+E7*K7)/160</f>
        <v>2.58890625</v>
      </c>
      <c r="M4" s="21">
        <f>0.5*I4+20*J4</f>
        <v>64.769500000000008</v>
      </c>
      <c r="N4" s="46">
        <f>SUM(M4:M7)</f>
        <v>240.64650000000003</v>
      </c>
      <c r="P4">
        <f t="shared" ref="P4:P19" si="0">(J4*20)/E4</f>
        <v>1.6564666666666668</v>
      </c>
      <c r="Q4">
        <f>J4/(E4)</f>
        <v>8.2823333333333332E-2</v>
      </c>
    </row>
    <row r="5" spans="1:17" ht="15" thickBot="1" x14ac:dyDescent="0.4">
      <c r="A5" s="41"/>
      <c r="B5" s="2" t="s">
        <v>7</v>
      </c>
      <c r="C5" s="2">
        <f t="shared" ref="C5:C19" si="1">E5-D5</f>
        <v>17</v>
      </c>
      <c r="D5" s="2">
        <v>13</v>
      </c>
      <c r="E5" s="2">
        <v>30</v>
      </c>
      <c r="F5" s="9">
        <v>3</v>
      </c>
      <c r="G5" s="2">
        <v>3</v>
      </c>
      <c r="H5" s="2">
        <v>0</v>
      </c>
      <c r="I5" s="29">
        <v>23.344999999999999</v>
      </c>
      <c r="J5" s="8">
        <v>1.9236</v>
      </c>
      <c r="K5" s="21">
        <f t="shared" ref="K5:K19" si="2">J5*45/E5</f>
        <v>2.8853999999999997</v>
      </c>
      <c r="L5" s="44"/>
      <c r="M5" s="32">
        <f t="shared" ref="M5:M19" si="3">0.5*I5+20*J5</f>
        <v>50.144500000000001</v>
      </c>
      <c r="N5" s="47"/>
      <c r="P5">
        <f t="shared" si="0"/>
        <v>1.2824</v>
      </c>
      <c r="Q5">
        <f t="shared" ref="Q5:Q19" si="4">J5/(E5)</f>
        <v>6.4119999999999996E-2</v>
      </c>
    </row>
    <row r="6" spans="1:17" ht="15" thickBot="1" x14ac:dyDescent="0.4">
      <c r="A6" s="41"/>
      <c r="B6" s="2" t="s">
        <v>8</v>
      </c>
      <c r="C6" s="2">
        <f t="shared" si="1"/>
        <v>13</v>
      </c>
      <c r="D6" s="2">
        <v>17</v>
      </c>
      <c r="E6" s="2">
        <v>30</v>
      </c>
      <c r="F6" s="9">
        <v>3</v>
      </c>
      <c r="G6" s="2">
        <v>3</v>
      </c>
      <c r="H6" s="2">
        <v>0</v>
      </c>
      <c r="I6" s="21">
        <v>28.427</v>
      </c>
      <c r="J6" s="8">
        <v>2.3772000000000002</v>
      </c>
      <c r="K6" s="21">
        <f t="shared" si="2"/>
        <v>3.5658000000000003</v>
      </c>
      <c r="L6" s="44"/>
      <c r="M6" s="32">
        <f t="shared" si="3"/>
        <v>61.757500000000007</v>
      </c>
      <c r="N6" s="47"/>
      <c r="P6">
        <f t="shared" si="0"/>
        <v>1.5848000000000002</v>
      </c>
      <c r="Q6">
        <f t="shared" si="4"/>
        <v>7.9240000000000005E-2</v>
      </c>
    </row>
    <row r="7" spans="1:17" ht="15" thickBot="1" x14ac:dyDescent="0.4">
      <c r="A7" s="42"/>
      <c r="B7" s="2" t="s">
        <v>9</v>
      </c>
      <c r="C7" s="2">
        <f t="shared" si="1"/>
        <v>16</v>
      </c>
      <c r="D7" s="2">
        <v>14</v>
      </c>
      <c r="E7" s="2">
        <v>30</v>
      </c>
      <c r="F7" s="9">
        <v>3</v>
      </c>
      <c r="G7" s="2">
        <v>3</v>
      </c>
      <c r="H7" s="2">
        <v>0</v>
      </c>
      <c r="I7" s="31">
        <v>31.17</v>
      </c>
      <c r="J7" s="8">
        <v>2.4195000000000002</v>
      </c>
      <c r="K7" s="21">
        <f t="shared" si="2"/>
        <v>3.6292500000000003</v>
      </c>
      <c r="L7" s="45"/>
      <c r="M7" s="32">
        <f t="shared" si="3"/>
        <v>63.975000000000001</v>
      </c>
      <c r="N7" s="48"/>
      <c r="P7">
        <f t="shared" si="0"/>
        <v>1.613</v>
      </c>
      <c r="Q7">
        <f t="shared" si="4"/>
        <v>8.0650000000000013E-2</v>
      </c>
    </row>
    <row r="8" spans="1:17" ht="15" thickBot="1" x14ac:dyDescent="0.4">
      <c r="A8" s="40" t="s">
        <v>7</v>
      </c>
      <c r="B8" s="2" t="s">
        <v>6</v>
      </c>
      <c r="C8" s="2">
        <f t="shared" si="1"/>
        <v>8</v>
      </c>
      <c r="D8" s="2">
        <v>12</v>
      </c>
      <c r="E8" s="2">
        <v>20</v>
      </c>
      <c r="F8" s="9">
        <v>3</v>
      </c>
      <c r="G8" s="2">
        <v>3</v>
      </c>
      <c r="H8" s="2">
        <v>0</v>
      </c>
      <c r="I8" s="29">
        <v>22.850999999999999</v>
      </c>
      <c r="J8" s="8">
        <v>1.3106</v>
      </c>
      <c r="K8" s="21">
        <f t="shared" si="2"/>
        <v>2.9488499999999997</v>
      </c>
      <c r="L8" s="43">
        <f>(E8*K8+E9*K9+E10*K10+E11*K11)/160</f>
        <v>2.5953187499999997</v>
      </c>
      <c r="M8" s="32">
        <f t="shared" si="3"/>
        <v>37.637500000000003</v>
      </c>
      <c r="N8" s="46">
        <f>SUM(M8:M11)</f>
        <v>237.53800000000001</v>
      </c>
      <c r="P8">
        <f t="shared" si="0"/>
        <v>1.3106</v>
      </c>
      <c r="Q8">
        <f t="shared" si="4"/>
        <v>6.5530000000000005E-2</v>
      </c>
    </row>
    <row r="9" spans="1:17" ht="15" thickBot="1" x14ac:dyDescent="0.4">
      <c r="A9" s="41"/>
      <c r="B9" s="2" t="s">
        <v>7</v>
      </c>
      <c r="C9" s="2">
        <f t="shared" si="1"/>
        <v>15</v>
      </c>
      <c r="D9" s="2">
        <v>25</v>
      </c>
      <c r="E9" s="2">
        <v>40</v>
      </c>
      <c r="F9" s="9">
        <v>3</v>
      </c>
      <c r="G9" s="2">
        <v>3</v>
      </c>
      <c r="H9" s="2">
        <v>0</v>
      </c>
      <c r="I9" s="21">
        <v>32.619</v>
      </c>
      <c r="J9" s="8">
        <v>3.5335000000000001</v>
      </c>
      <c r="K9" s="21">
        <f t="shared" si="2"/>
        <v>3.9751874999999997</v>
      </c>
      <c r="L9" s="44"/>
      <c r="M9" s="32">
        <f t="shared" si="3"/>
        <v>86.979500000000002</v>
      </c>
      <c r="N9" s="47"/>
      <c r="P9">
        <f t="shared" si="0"/>
        <v>1.76675</v>
      </c>
      <c r="Q9">
        <f t="shared" si="4"/>
        <v>8.8337499999999999E-2</v>
      </c>
    </row>
    <row r="10" spans="1:17" ht="15" thickBot="1" x14ac:dyDescent="0.4">
      <c r="A10" s="41"/>
      <c r="B10" s="2" t="s">
        <v>8</v>
      </c>
      <c r="C10" s="2">
        <f t="shared" si="1"/>
        <v>15</v>
      </c>
      <c r="D10" s="2">
        <v>20</v>
      </c>
      <c r="E10" s="2">
        <v>35</v>
      </c>
      <c r="F10" s="9">
        <v>3</v>
      </c>
      <c r="G10" s="2">
        <v>3</v>
      </c>
      <c r="H10" s="2">
        <v>0</v>
      </c>
      <c r="I10" s="31">
        <v>27.681000000000001</v>
      </c>
      <c r="J10" s="8">
        <v>2.6459999999999999</v>
      </c>
      <c r="K10" s="21">
        <f t="shared" si="2"/>
        <v>3.4019999999999997</v>
      </c>
      <c r="L10" s="44"/>
      <c r="M10" s="32">
        <f t="shared" si="3"/>
        <v>66.760500000000008</v>
      </c>
      <c r="N10" s="47"/>
      <c r="P10">
        <f t="shared" si="0"/>
        <v>1.512</v>
      </c>
      <c r="Q10">
        <f t="shared" si="4"/>
        <v>7.5600000000000001E-2</v>
      </c>
    </row>
    <row r="11" spans="1:17" ht="15" thickBot="1" x14ac:dyDescent="0.4">
      <c r="A11" s="42"/>
      <c r="B11" s="2" t="s">
        <v>9</v>
      </c>
      <c r="C11" s="2">
        <f t="shared" si="1"/>
        <v>10</v>
      </c>
      <c r="D11" s="2">
        <v>15</v>
      </c>
      <c r="E11" s="2">
        <v>25</v>
      </c>
      <c r="F11" s="9">
        <v>3</v>
      </c>
      <c r="G11" s="2">
        <v>3</v>
      </c>
      <c r="H11" s="2">
        <v>0</v>
      </c>
      <c r="I11" s="29">
        <v>22.812999999999999</v>
      </c>
      <c r="J11" s="8">
        <v>1.7377</v>
      </c>
      <c r="K11" s="21">
        <f t="shared" si="2"/>
        <v>3.1278600000000001</v>
      </c>
      <c r="L11" s="45"/>
      <c r="M11" s="32">
        <f t="shared" si="3"/>
        <v>46.160499999999999</v>
      </c>
      <c r="N11" s="48"/>
      <c r="P11">
        <f t="shared" si="0"/>
        <v>1.3901599999999998</v>
      </c>
      <c r="Q11">
        <f t="shared" si="4"/>
        <v>6.9508E-2</v>
      </c>
    </row>
    <row r="12" spans="1:17" ht="15" thickBot="1" x14ac:dyDescent="0.4">
      <c r="A12" s="40" t="s">
        <v>8</v>
      </c>
      <c r="B12" s="2" t="s">
        <v>6</v>
      </c>
      <c r="C12" s="2">
        <f t="shared" si="1"/>
        <v>20</v>
      </c>
      <c r="D12" s="2">
        <v>20</v>
      </c>
      <c r="E12" s="2">
        <v>40</v>
      </c>
      <c r="F12" s="9">
        <v>3</v>
      </c>
      <c r="G12" s="2">
        <v>3</v>
      </c>
      <c r="H12" s="2">
        <v>0</v>
      </c>
      <c r="I12" s="29">
        <v>31.579000000000001</v>
      </c>
      <c r="J12" s="8">
        <v>3.2997000000000001</v>
      </c>
      <c r="K12" s="21">
        <f t="shared" si="2"/>
        <v>3.7121625000000003</v>
      </c>
      <c r="L12" s="43">
        <f>(E12*K12+E13*K13+E14*K14+E15*K15)/160</f>
        <v>2.9554312500000002</v>
      </c>
      <c r="M12" s="32">
        <f t="shared" si="3"/>
        <v>81.783500000000004</v>
      </c>
      <c r="N12" s="46">
        <f>SUM(M12:M15)</f>
        <v>262.83</v>
      </c>
      <c r="P12">
        <f t="shared" si="0"/>
        <v>1.64985</v>
      </c>
      <c r="Q12">
        <f t="shared" si="4"/>
        <v>8.2492499999999996E-2</v>
      </c>
    </row>
    <row r="13" spans="1:17" ht="15" thickBot="1" x14ac:dyDescent="0.4">
      <c r="A13" s="41"/>
      <c r="B13" s="2" t="s">
        <v>7</v>
      </c>
      <c r="C13" s="2">
        <f t="shared" si="1"/>
        <v>13</v>
      </c>
      <c r="D13" s="2">
        <v>7</v>
      </c>
      <c r="E13" s="2">
        <v>20</v>
      </c>
      <c r="F13" s="9">
        <v>3</v>
      </c>
      <c r="G13" s="2">
        <v>3</v>
      </c>
      <c r="H13" s="2">
        <v>0</v>
      </c>
      <c r="I13" s="29">
        <v>21.044</v>
      </c>
      <c r="J13" s="8">
        <v>1.702</v>
      </c>
      <c r="K13" s="21">
        <f t="shared" si="2"/>
        <v>3.8295000000000003</v>
      </c>
      <c r="L13" s="44"/>
      <c r="M13" s="32">
        <f t="shared" si="3"/>
        <v>44.561999999999998</v>
      </c>
      <c r="N13" s="47"/>
      <c r="P13">
        <f t="shared" si="0"/>
        <v>1.702</v>
      </c>
      <c r="Q13">
        <f t="shared" si="4"/>
        <v>8.5099999999999995E-2</v>
      </c>
    </row>
    <row r="14" spans="1:17" ht="15" thickBot="1" x14ac:dyDescent="0.4">
      <c r="A14" s="41"/>
      <c r="B14" s="2" t="s">
        <v>8</v>
      </c>
      <c r="C14" s="2">
        <f t="shared" si="1"/>
        <v>7</v>
      </c>
      <c r="D14" s="2">
        <v>8</v>
      </c>
      <c r="E14" s="2">
        <v>15</v>
      </c>
      <c r="F14" s="9">
        <v>3</v>
      </c>
      <c r="G14" s="2">
        <v>3</v>
      </c>
      <c r="H14" s="2">
        <v>0</v>
      </c>
      <c r="I14" s="29">
        <v>15.895</v>
      </c>
      <c r="J14" s="8">
        <v>0.95069999999999999</v>
      </c>
      <c r="K14" s="21">
        <f t="shared" si="2"/>
        <v>2.8521000000000001</v>
      </c>
      <c r="L14" s="44"/>
      <c r="M14" s="32">
        <f t="shared" si="3"/>
        <v>26.961500000000001</v>
      </c>
      <c r="N14" s="47"/>
      <c r="P14">
        <f t="shared" si="0"/>
        <v>1.2676000000000001</v>
      </c>
      <c r="Q14">
        <f t="shared" si="4"/>
        <v>6.3380000000000006E-2</v>
      </c>
    </row>
    <row r="15" spans="1:17" ht="15" thickBot="1" x14ac:dyDescent="0.4">
      <c r="A15" s="42"/>
      <c r="B15" s="2" t="s">
        <v>9</v>
      </c>
      <c r="C15" s="2">
        <f t="shared" si="1"/>
        <v>24</v>
      </c>
      <c r="D15" s="2">
        <v>21</v>
      </c>
      <c r="E15" s="2">
        <v>45</v>
      </c>
      <c r="F15" s="9">
        <v>3</v>
      </c>
      <c r="G15" s="2">
        <v>3</v>
      </c>
      <c r="H15" s="2">
        <v>0</v>
      </c>
      <c r="I15" s="29">
        <v>36.814</v>
      </c>
      <c r="J15" s="8">
        <v>4.5557999999999996</v>
      </c>
      <c r="K15" s="21">
        <f t="shared" si="2"/>
        <v>4.5557999999999996</v>
      </c>
      <c r="L15" s="45"/>
      <c r="M15" s="32">
        <f t="shared" si="3"/>
        <v>109.52299999999998</v>
      </c>
      <c r="N15" s="48"/>
      <c r="P15">
        <f t="shared" si="0"/>
        <v>2.0247999999999995</v>
      </c>
      <c r="Q15">
        <f t="shared" si="4"/>
        <v>0.10124</v>
      </c>
    </row>
    <row r="16" spans="1:17" ht="15" thickBot="1" x14ac:dyDescent="0.4">
      <c r="A16" s="40" t="s">
        <v>9</v>
      </c>
      <c r="B16" s="2" t="s">
        <v>6</v>
      </c>
      <c r="C16" s="2">
        <f t="shared" si="1"/>
        <v>18</v>
      </c>
      <c r="D16" s="2">
        <v>12</v>
      </c>
      <c r="E16" s="2">
        <v>30</v>
      </c>
      <c r="F16" s="9">
        <v>3</v>
      </c>
      <c r="G16" s="2">
        <v>3</v>
      </c>
      <c r="H16" s="2">
        <v>0</v>
      </c>
      <c r="I16" s="29">
        <v>31.606000000000002</v>
      </c>
      <c r="J16" s="8">
        <v>2.5779999999999998</v>
      </c>
      <c r="K16" s="21">
        <f t="shared" si="2"/>
        <v>3.8669999999999995</v>
      </c>
      <c r="L16" s="43">
        <f>(E16*K16+E17*K17+E18*K18+E19*K19)/160</f>
        <v>2.8448437499999999</v>
      </c>
      <c r="M16" s="32">
        <f t="shared" si="3"/>
        <v>67.363</v>
      </c>
      <c r="N16" s="49">
        <f>SUM(M16:M19)</f>
        <v>256.42600000000004</v>
      </c>
      <c r="P16">
        <f t="shared" si="0"/>
        <v>1.7186666666666666</v>
      </c>
      <c r="Q16">
        <f t="shared" si="4"/>
        <v>8.5933333333333334E-2</v>
      </c>
    </row>
    <row r="17" spans="1:17" ht="15" thickBot="1" x14ac:dyDescent="0.4">
      <c r="A17" s="41"/>
      <c r="B17" s="2" t="s">
        <v>7</v>
      </c>
      <c r="C17" s="2">
        <f t="shared" si="1"/>
        <v>14</v>
      </c>
      <c r="D17" s="2">
        <v>16</v>
      </c>
      <c r="E17" s="2">
        <v>30</v>
      </c>
      <c r="F17" s="9">
        <v>3</v>
      </c>
      <c r="G17" s="2">
        <v>3</v>
      </c>
      <c r="H17" s="2">
        <v>0</v>
      </c>
      <c r="I17" s="29">
        <v>23.178999999999998</v>
      </c>
      <c r="J17" s="8">
        <v>2.617</v>
      </c>
      <c r="K17" s="21">
        <f t="shared" si="2"/>
        <v>3.9255</v>
      </c>
      <c r="L17" s="44"/>
      <c r="M17" s="32">
        <f t="shared" si="3"/>
        <v>63.929500000000004</v>
      </c>
      <c r="N17" s="50"/>
      <c r="P17">
        <f t="shared" si="0"/>
        <v>1.7446666666666668</v>
      </c>
      <c r="Q17">
        <f t="shared" si="4"/>
        <v>8.7233333333333329E-2</v>
      </c>
    </row>
    <row r="18" spans="1:17" ht="15" thickBot="1" x14ac:dyDescent="0.4">
      <c r="A18" s="41"/>
      <c r="B18" s="2" t="s">
        <v>8</v>
      </c>
      <c r="C18" s="2">
        <f t="shared" si="1"/>
        <v>12</v>
      </c>
      <c r="D18" s="2">
        <v>18</v>
      </c>
      <c r="E18" s="2">
        <v>30</v>
      </c>
      <c r="F18" s="9">
        <v>3</v>
      </c>
      <c r="G18" s="2">
        <v>3</v>
      </c>
      <c r="H18" s="2">
        <v>0</v>
      </c>
      <c r="I18" s="29">
        <v>25.646000000000001</v>
      </c>
      <c r="J18" s="8">
        <v>2.5268000000000002</v>
      </c>
      <c r="K18" s="21">
        <f t="shared" si="2"/>
        <v>3.7902</v>
      </c>
      <c r="L18" s="44"/>
      <c r="M18" s="32">
        <f t="shared" si="3"/>
        <v>63.359000000000002</v>
      </c>
      <c r="N18" s="50"/>
      <c r="P18">
        <f t="shared" si="0"/>
        <v>1.6845333333333334</v>
      </c>
      <c r="Q18">
        <f t="shared" si="4"/>
        <v>8.4226666666666672E-2</v>
      </c>
    </row>
    <row r="19" spans="1:17" ht="15" thickBot="1" x14ac:dyDescent="0.4">
      <c r="A19" s="42"/>
      <c r="B19" s="2" t="s">
        <v>9</v>
      </c>
      <c r="C19" s="2">
        <f t="shared" si="1"/>
        <v>13</v>
      </c>
      <c r="D19" s="2">
        <v>17</v>
      </c>
      <c r="E19" s="2">
        <v>30</v>
      </c>
      <c r="F19" s="9">
        <v>3</v>
      </c>
      <c r="G19" s="2">
        <v>3</v>
      </c>
      <c r="H19" s="2">
        <v>0</v>
      </c>
      <c r="I19" s="21">
        <v>27.821000000000002</v>
      </c>
      <c r="J19" s="8">
        <v>2.3932000000000002</v>
      </c>
      <c r="K19" s="21">
        <f t="shared" si="2"/>
        <v>3.5898000000000008</v>
      </c>
      <c r="L19" s="45"/>
      <c r="M19" s="32">
        <f t="shared" si="3"/>
        <v>61.774500000000003</v>
      </c>
      <c r="N19" s="51"/>
      <c r="P19">
        <f t="shared" si="0"/>
        <v>1.5954666666666668</v>
      </c>
      <c r="Q19">
        <f t="shared" si="4"/>
        <v>7.9773333333333335E-2</v>
      </c>
    </row>
    <row r="20" spans="1:17" ht="15" thickBot="1" x14ac:dyDescent="0.4">
      <c r="A20" s="38" t="s">
        <v>10</v>
      </c>
      <c r="B20" s="39"/>
      <c r="C20" s="14">
        <f t="shared" ref="C20:J20" si="5">SUM(C4:C19)</f>
        <v>225</v>
      </c>
      <c r="D20" s="14">
        <f t="shared" si="5"/>
        <v>255</v>
      </c>
      <c r="E20" s="14">
        <f t="shared" si="5"/>
        <v>480</v>
      </c>
      <c r="F20" s="14">
        <f t="shared" si="5"/>
        <v>48</v>
      </c>
      <c r="G20" s="14">
        <f t="shared" si="5"/>
        <v>48</v>
      </c>
      <c r="H20" s="14">
        <f t="shared" si="5"/>
        <v>0</v>
      </c>
      <c r="I20" s="21">
        <f t="shared" si="5"/>
        <v>432.64100000000002</v>
      </c>
      <c r="J20" s="21">
        <f t="shared" si="5"/>
        <v>39.056000000000012</v>
      </c>
      <c r="K20" s="14"/>
      <c r="L20" s="21">
        <f>AVERAGE(L4:L19)</f>
        <v>2.7461250000000001</v>
      </c>
      <c r="M20" s="21">
        <f>SUM(M4:M19)</f>
        <v>997.44050000000004</v>
      </c>
      <c r="N20" s="21">
        <f>SUM(N4:N19)</f>
        <v>997.44050000000004</v>
      </c>
      <c r="O20">
        <f>N20/E20</f>
        <v>2.0780010416666665</v>
      </c>
      <c r="P20">
        <f>AVERAGE(P4:P19)</f>
        <v>1.5939850000000002</v>
      </c>
    </row>
    <row r="21" spans="1:17" x14ac:dyDescent="0.35">
      <c r="K21" s="33">
        <f>SUM(J4:J20)</f>
        <v>78.112000000000023</v>
      </c>
      <c r="Q21">
        <f>AVERAGE(Q4:Q20)</f>
        <v>7.9699249999999999E-2</v>
      </c>
    </row>
    <row r="22" spans="1:17" x14ac:dyDescent="0.35">
      <c r="K22">
        <f>K21*20</f>
        <v>1562.2400000000005</v>
      </c>
    </row>
    <row r="23" spans="1:17" x14ac:dyDescent="0.35">
      <c r="K23">
        <f>K22/120</f>
        <v>13.01866666666667</v>
      </c>
    </row>
  </sheetData>
  <mergeCells count="26">
    <mergeCell ref="L4:L7"/>
    <mergeCell ref="N4:N7"/>
    <mergeCell ref="A8:A11"/>
    <mergeCell ref="L8:L11"/>
    <mergeCell ref="N8:N11"/>
    <mergeCell ref="B2:B3"/>
    <mergeCell ref="C2:C3"/>
    <mergeCell ref="D2:D3"/>
    <mergeCell ref="E2:E3"/>
    <mergeCell ref="A4:A7"/>
    <mergeCell ref="L2:L3"/>
    <mergeCell ref="M2:M3"/>
    <mergeCell ref="N2:N3"/>
    <mergeCell ref="A20:B20"/>
    <mergeCell ref="A12:A15"/>
    <mergeCell ref="L12:L15"/>
    <mergeCell ref="N12:N15"/>
    <mergeCell ref="A16:A19"/>
    <mergeCell ref="L16:L19"/>
    <mergeCell ref="N16:N19"/>
    <mergeCell ref="F2:F3"/>
    <mergeCell ref="G2:G3"/>
    <mergeCell ref="I2:I3"/>
    <mergeCell ref="J2:J3"/>
    <mergeCell ref="K2:K3"/>
    <mergeCell ref="A2:A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workbookViewId="0">
      <selection activeCell="H27" sqref="H27"/>
    </sheetView>
  </sheetViews>
  <sheetFormatPr defaultRowHeight="14.5" x14ac:dyDescent="0.35"/>
  <sheetData>
    <row r="1" spans="1:14" ht="15" thickBot="1" x14ac:dyDescent="0.4">
      <c r="A1" t="s">
        <v>51</v>
      </c>
    </row>
    <row r="2" spans="1:14" ht="21" x14ac:dyDescent="0.35">
      <c r="A2" s="34" t="s">
        <v>0</v>
      </c>
      <c r="B2" s="34" t="s">
        <v>1</v>
      </c>
      <c r="C2" s="34" t="s">
        <v>13</v>
      </c>
      <c r="D2" s="34" t="s">
        <v>2</v>
      </c>
      <c r="E2" s="34" t="s">
        <v>3</v>
      </c>
      <c r="F2" s="34" t="s">
        <v>4</v>
      </c>
      <c r="G2" s="34" t="s">
        <v>5</v>
      </c>
      <c r="H2" s="15" t="s">
        <v>14</v>
      </c>
      <c r="I2" s="34" t="s">
        <v>16</v>
      </c>
      <c r="J2" s="34" t="s">
        <v>47</v>
      </c>
      <c r="K2" s="34" t="s">
        <v>11</v>
      </c>
      <c r="L2" s="34" t="s">
        <v>12</v>
      </c>
      <c r="M2" s="36" t="s">
        <v>40</v>
      </c>
      <c r="N2" s="36" t="s">
        <v>41</v>
      </c>
    </row>
    <row r="3" spans="1:14" ht="15" thickBot="1" x14ac:dyDescent="0.4">
      <c r="A3" s="35"/>
      <c r="B3" s="35"/>
      <c r="C3" s="35"/>
      <c r="D3" s="35"/>
      <c r="E3" s="35"/>
      <c r="F3" s="35"/>
      <c r="G3" s="35"/>
      <c r="H3" s="16" t="s">
        <v>15</v>
      </c>
      <c r="I3" s="35"/>
      <c r="J3" s="35"/>
      <c r="K3" s="35"/>
      <c r="L3" s="35"/>
      <c r="M3" s="37"/>
      <c r="N3" s="37"/>
    </row>
    <row r="4" spans="1:14" ht="15" thickBot="1" x14ac:dyDescent="0.4">
      <c r="A4" s="40" t="s">
        <v>6</v>
      </c>
      <c r="B4" s="2" t="s">
        <v>6</v>
      </c>
      <c r="C4" s="2">
        <f>E4-D4</f>
        <v>10</v>
      </c>
      <c r="D4" s="2">
        <v>20</v>
      </c>
      <c r="E4" s="2">
        <v>30</v>
      </c>
      <c r="F4" s="9">
        <v>3</v>
      </c>
      <c r="G4" s="2">
        <v>3</v>
      </c>
      <c r="H4" s="2">
        <v>0</v>
      </c>
      <c r="I4" s="29">
        <v>27.44</v>
      </c>
      <c r="J4" s="8">
        <v>2.5335999999999999</v>
      </c>
      <c r="K4" s="21">
        <f>J4*45/E4</f>
        <v>3.8004000000000002</v>
      </c>
      <c r="L4" s="43">
        <f>(E4*K4+E5*K5+E6*K6+E7*K7)/160</f>
        <v>2.583421875</v>
      </c>
      <c r="M4" s="21">
        <f>0.5*I4+20*J4</f>
        <v>64.391999999999996</v>
      </c>
      <c r="N4" s="46">
        <f>SUM(M4:M7)</f>
        <v>238.30100000000002</v>
      </c>
    </row>
    <row r="5" spans="1:14" ht="15" thickBot="1" x14ac:dyDescent="0.4">
      <c r="A5" s="41"/>
      <c r="B5" s="2" t="s">
        <v>7</v>
      </c>
      <c r="C5" s="2">
        <f t="shared" ref="C5:C19" si="0">E5-D5</f>
        <v>17</v>
      </c>
      <c r="D5" s="2">
        <v>13</v>
      </c>
      <c r="E5" s="2">
        <v>30</v>
      </c>
      <c r="F5" s="9">
        <v>3</v>
      </c>
      <c r="G5" s="2">
        <v>3</v>
      </c>
      <c r="H5" s="2">
        <v>0</v>
      </c>
      <c r="I5" s="31">
        <v>23.523</v>
      </c>
      <c r="J5" s="8">
        <v>1.8959999999999999</v>
      </c>
      <c r="K5" s="21">
        <f t="shared" ref="K5:K19" si="1">J5*45/E5</f>
        <v>2.8439999999999999</v>
      </c>
      <c r="L5" s="44"/>
      <c r="M5" s="32">
        <f t="shared" ref="M5:M19" si="2">0.5*I5+20*J5</f>
        <v>49.6815</v>
      </c>
      <c r="N5" s="47"/>
    </row>
    <row r="6" spans="1:14" ht="15" thickBot="1" x14ac:dyDescent="0.4">
      <c r="A6" s="41"/>
      <c r="B6" s="2" t="s">
        <v>8</v>
      </c>
      <c r="C6" s="2">
        <f t="shared" si="0"/>
        <v>13</v>
      </c>
      <c r="D6" s="2">
        <v>17</v>
      </c>
      <c r="E6" s="2">
        <v>30</v>
      </c>
      <c r="F6" s="9">
        <v>3</v>
      </c>
      <c r="G6" s="2">
        <v>3</v>
      </c>
      <c r="H6" s="2">
        <v>0</v>
      </c>
      <c r="I6" s="29">
        <v>28.283999999999999</v>
      </c>
      <c r="J6" s="8">
        <v>2.3309000000000002</v>
      </c>
      <c r="K6" s="21">
        <f>J6*45/E6</f>
        <v>3.4963500000000001</v>
      </c>
      <c r="L6" s="44"/>
      <c r="M6" s="32">
        <f t="shared" si="2"/>
        <v>60.760000000000005</v>
      </c>
      <c r="N6" s="47"/>
    </row>
    <row r="7" spans="1:14" ht="15" thickBot="1" x14ac:dyDescent="0.4">
      <c r="A7" s="42"/>
      <c r="B7" s="2" t="s">
        <v>9</v>
      </c>
      <c r="C7" s="2">
        <f t="shared" si="0"/>
        <v>16</v>
      </c>
      <c r="D7" s="2">
        <v>14</v>
      </c>
      <c r="E7" s="2">
        <v>30</v>
      </c>
      <c r="F7" s="9">
        <v>3</v>
      </c>
      <c r="G7" s="2">
        <v>3</v>
      </c>
      <c r="H7" s="2">
        <v>0</v>
      </c>
      <c r="I7" s="31">
        <v>29.934999999999999</v>
      </c>
      <c r="J7" s="8">
        <v>2.4249999999999998</v>
      </c>
      <c r="K7" s="21">
        <f t="shared" si="1"/>
        <v>3.6374999999999997</v>
      </c>
      <c r="L7" s="45"/>
      <c r="M7" s="32">
        <f t="shared" si="2"/>
        <v>63.467500000000001</v>
      </c>
      <c r="N7" s="48"/>
    </row>
    <row r="8" spans="1:14" ht="15" thickBot="1" x14ac:dyDescent="0.4">
      <c r="A8" s="40" t="s">
        <v>7</v>
      </c>
      <c r="B8" s="2" t="s">
        <v>6</v>
      </c>
      <c r="C8" s="2">
        <f t="shared" si="0"/>
        <v>8</v>
      </c>
      <c r="D8" s="2">
        <v>12</v>
      </c>
      <c r="E8" s="2">
        <v>20</v>
      </c>
      <c r="F8" s="9">
        <v>3</v>
      </c>
      <c r="G8" s="2">
        <v>3</v>
      </c>
      <c r="H8" s="2">
        <v>0</v>
      </c>
      <c r="I8" s="29">
        <v>22.850999999999999</v>
      </c>
      <c r="J8" s="8">
        <v>1.3106</v>
      </c>
      <c r="K8" s="21">
        <f t="shared" si="1"/>
        <v>2.9488499999999997</v>
      </c>
      <c r="L8" s="43">
        <f>(E8*K8+E9*K9+E10*K10+E11*K11)/160</f>
        <v>2.5748156250000003</v>
      </c>
      <c r="M8" s="32">
        <f t="shared" si="2"/>
        <v>37.637500000000003</v>
      </c>
      <c r="N8" s="46">
        <f>SUM(M8:M11)</f>
        <v>235.65300000000002</v>
      </c>
    </row>
    <row r="9" spans="1:14" ht="15" thickBot="1" x14ac:dyDescent="0.4">
      <c r="A9" s="41"/>
      <c r="B9" s="2" t="s">
        <v>7</v>
      </c>
      <c r="C9" s="2">
        <f t="shared" si="0"/>
        <v>15</v>
      </c>
      <c r="D9" s="2">
        <v>25</v>
      </c>
      <c r="E9" s="2">
        <v>40</v>
      </c>
      <c r="F9" s="9">
        <v>3</v>
      </c>
      <c r="G9" s="2">
        <v>3</v>
      </c>
      <c r="H9" s="2">
        <v>0</v>
      </c>
      <c r="I9" s="29">
        <v>31.765000000000001</v>
      </c>
      <c r="J9" s="8">
        <v>3.4605999999999999</v>
      </c>
      <c r="K9" s="21">
        <f t="shared" si="1"/>
        <v>3.8931750000000003</v>
      </c>
      <c r="L9" s="44"/>
      <c r="M9" s="32">
        <f t="shared" si="2"/>
        <v>85.094500000000011</v>
      </c>
      <c r="N9" s="47"/>
    </row>
    <row r="10" spans="1:14" ht="15" thickBot="1" x14ac:dyDescent="0.4">
      <c r="A10" s="41"/>
      <c r="B10" s="2" t="s">
        <v>8</v>
      </c>
      <c r="C10" s="2">
        <f t="shared" si="0"/>
        <v>15</v>
      </c>
      <c r="D10" s="2">
        <v>20</v>
      </c>
      <c r="E10" s="2">
        <v>35</v>
      </c>
      <c r="F10" s="9">
        <v>3</v>
      </c>
      <c r="G10" s="2">
        <v>3</v>
      </c>
      <c r="H10" s="2">
        <v>0</v>
      </c>
      <c r="I10" s="21">
        <v>27.681000000000001</v>
      </c>
      <c r="J10" s="8">
        <v>2.6459999999999999</v>
      </c>
      <c r="K10" s="21">
        <f t="shared" si="1"/>
        <v>3.4019999999999997</v>
      </c>
      <c r="L10" s="44"/>
      <c r="M10" s="32">
        <f t="shared" si="2"/>
        <v>66.760500000000008</v>
      </c>
      <c r="N10" s="47"/>
    </row>
    <row r="11" spans="1:14" ht="15" thickBot="1" x14ac:dyDescent="0.4">
      <c r="A11" s="42"/>
      <c r="B11" s="2" t="s">
        <v>9</v>
      </c>
      <c r="C11" s="2">
        <f t="shared" si="0"/>
        <v>10</v>
      </c>
      <c r="D11" s="2">
        <v>15</v>
      </c>
      <c r="E11" s="2">
        <v>25</v>
      </c>
      <c r="F11" s="9">
        <v>3</v>
      </c>
      <c r="G11" s="2">
        <v>3</v>
      </c>
      <c r="H11" s="2">
        <v>0</v>
      </c>
      <c r="I11" s="29">
        <v>22.812999999999999</v>
      </c>
      <c r="J11" s="8">
        <v>1.7377</v>
      </c>
      <c r="K11" s="21">
        <f t="shared" si="1"/>
        <v>3.1278600000000001</v>
      </c>
      <c r="L11" s="45"/>
      <c r="M11" s="32">
        <f t="shared" si="2"/>
        <v>46.160499999999999</v>
      </c>
      <c r="N11" s="48"/>
    </row>
    <row r="12" spans="1:14" ht="15" thickBot="1" x14ac:dyDescent="0.4">
      <c r="A12" s="40" t="s">
        <v>8</v>
      </c>
      <c r="B12" s="2" t="s">
        <v>6</v>
      </c>
      <c r="C12" s="2">
        <f t="shared" si="0"/>
        <v>20</v>
      </c>
      <c r="D12" s="2">
        <v>20</v>
      </c>
      <c r="E12" s="2">
        <v>40</v>
      </c>
      <c r="F12" s="9">
        <v>3</v>
      </c>
      <c r="G12" s="2">
        <v>3</v>
      </c>
      <c r="H12" s="2">
        <v>0</v>
      </c>
      <c r="I12" s="29">
        <v>30.73</v>
      </c>
      <c r="J12" s="8">
        <v>3.2637</v>
      </c>
      <c r="K12" s="21">
        <f t="shared" si="1"/>
        <v>3.6716625000000001</v>
      </c>
      <c r="L12" s="43">
        <f>(E12*K12+E13*K13+E14*K14+E15*K15)/160</f>
        <v>2.8668093749999999</v>
      </c>
      <c r="M12" s="32">
        <f t="shared" si="2"/>
        <v>80.638999999999996</v>
      </c>
      <c r="N12" s="46">
        <f>SUM(M12:M15)</f>
        <v>257.16300000000001</v>
      </c>
    </row>
    <row r="13" spans="1:14" ht="15" thickBot="1" x14ac:dyDescent="0.4">
      <c r="A13" s="41"/>
      <c r="B13" s="2" t="s">
        <v>7</v>
      </c>
      <c r="C13" s="2">
        <f t="shared" si="0"/>
        <v>13</v>
      </c>
      <c r="D13" s="2">
        <v>7</v>
      </c>
      <c r="E13" s="2">
        <v>20</v>
      </c>
      <c r="F13" s="9">
        <v>3</v>
      </c>
      <c r="G13" s="2">
        <v>3</v>
      </c>
      <c r="H13" s="2">
        <v>0</v>
      </c>
      <c r="I13" s="29">
        <v>21.044</v>
      </c>
      <c r="J13" s="8">
        <v>1.702</v>
      </c>
      <c r="K13" s="21">
        <f t="shared" si="1"/>
        <v>3.8295000000000003</v>
      </c>
      <c r="L13" s="44"/>
      <c r="M13" s="32">
        <f t="shared" si="2"/>
        <v>44.561999999999998</v>
      </c>
      <c r="N13" s="47"/>
    </row>
    <row r="14" spans="1:14" ht="15" thickBot="1" x14ac:dyDescent="0.4">
      <c r="A14" s="41"/>
      <c r="B14" s="2" t="s">
        <v>8</v>
      </c>
      <c r="C14" s="2">
        <f t="shared" si="0"/>
        <v>7</v>
      </c>
      <c r="D14" s="2">
        <v>8</v>
      </c>
      <c r="E14" s="2">
        <v>15</v>
      </c>
      <c r="F14" s="9">
        <v>3</v>
      </c>
      <c r="G14" s="2">
        <v>3</v>
      </c>
      <c r="H14" s="2">
        <v>0</v>
      </c>
      <c r="I14" s="21">
        <v>15.895</v>
      </c>
      <c r="J14" s="8">
        <v>0.95069999999999999</v>
      </c>
      <c r="K14" s="21">
        <f t="shared" si="1"/>
        <v>2.8521000000000001</v>
      </c>
      <c r="L14" s="44"/>
      <c r="M14" s="32">
        <f t="shared" si="2"/>
        <v>26.961500000000001</v>
      </c>
      <c r="N14" s="47"/>
    </row>
    <row r="15" spans="1:14" ht="15" thickBot="1" x14ac:dyDescent="0.4">
      <c r="A15" s="42"/>
      <c r="B15" s="2" t="s">
        <v>9</v>
      </c>
      <c r="C15" s="2">
        <f t="shared" si="0"/>
        <v>24</v>
      </c>
      <c r="D15" s="2">
        <v>21</v>
      </c>
      <c r="E15" s="2">
        <v>45</v>
      </c>
      <c r="F15" s="9">
        <v>3</v>
      </c>
      <c r="G15" s="2">
        <v>3</v>
      </c>
      <c r="H15" s="2">
        <v>0</v>
      </c>
      <c r="I15" s="29">
        <v>38.933</v>
      </c>
      <c r="J15" s="8">
        <v>4.2766999999999999</v>
      </c>
      <c r="K15" s="21">
        <f t="shared" si="1"/>
        <v>4.2766999999999999</v>
      </c>
      <c r="L15" s="45"/>
      <c r="M15" s="32">
        <f t="shared" si="2"/>
        <v>105.00049999999999</v>
      </c>
      <c r="N15" s="48"/>
    </row>
    <row r="16" spans="1:14" ht="15" thickBot="1" x14ac:dyDescent="0.4">
      <c r="A16" s="40" t="s">
        <v>9</v>
      </c>
      <c r="B16" s="2" t="s">
        <v>6</v>
      </c>
      <c r="C16" s="2">
        <f t="shared" si="0"/>
        <v>18</v>
      </c>
      <c r="D16" s="2">
        <v>12</v>
      </c>
      <c r="E16" s="2">
        <v>30</v>
      </c>
      <c r="F16" s="9">
        <v>3</v>
      </c>
      <c r="G16" s="2">
        <v>3</v>
      </c>
      <c r="H16" s="2">
        <v>0</v>
      </c>
      <c r="I16" s="29">
        <v>30.283000000000001</v>
      </c>
      <c r="J16" s="8">
        <v>2.5737999999999999</v>
      </c>
      <c r="K16" s="21">
        <f t="shared" si="1"/>
        <v>3.8607</v>
      </c>
      <c r="L16" s="43">
        <f>(E16*K16+E17*K17+E18*K18+E19*K19)/160</f>
        <v>2.8238062499999996</v>
      </c>
      <c r="M16" s="32">
        <f t="shared" si="2"/>
        <v>66.617500000000007</v>
      </c>
      <c r="N16" s="49">
        <f>SUM(M16:M19)</f>
        <v>255.07650000000001</v>
      </c>
    </row>
    <row r="17" spans="1:14" ht="15" thickBot="1" x14ac:dyDescent="0.4">
      <c r="A17" s="41"/>
      <c r="B17" s="2" t="s">
        <v>7</v>
      </c>
      <c r="C17" s="2">
        <f t="shared" si="0"/>
        <v>14</v>
      </c>
      <c r="D17" s="2">
        <v>16</v>
      </c>
      <c r="E17" s="2">
        <v>30</v>
      </c>
      <c r="F17" s="9">
        <v>3</v>
      </c>
      <c r="G17" s="2">
        <v>3</v>
      </c>
      <c r="H17" s="2">
        <v>0</v>
      </c>
      <c r="I17" s="29">
        <v>25.183</v>
      </c>
      <c r="J17" s="8">
        <v>2.5381999999999998</v>
      </c>
      <c r="K17" s="21">
        <f t="shared" si="1"/>
        <v>3.8072999999999997</v>
      </c>
      <c r="L17" s="44"/>
      <c r="M17" s="32">
        <f t="shared" si="2"/>
        <v>63.355499999999992</v>
      </c>
      <c r="N17" s="50"/>
    </row>
    <row r="18" spans="1:14" ht="15" thickBot="1" x14ac:dyDescent="0.4">
      <c r="A18" s="41"/>
      <c r="B18" s="2" t="s">
        <v>8</v>
      </c>
      <c r="C18" s="2">
        <f t="shared" si="0"/>
        <v>12</v>
      </c>
      <c r="D18" s="2">
        <v>18</v>
      </c>
      <c r="E18" s="2">
        <v>30</v>
      </c>
      <c r="F18" s="9">
        <v>3</v>
      </c>
      <c r="G18" s="2">
        <v>3</v>
      </c>
      <c r="H18" s="2">
        <v>0</v>
      </c>
      <c r="I18" s="29">
        <v>25.646000000000001</v>
      </c>
      <c r="J18" s="8">
        <v>2.5268000000000002</v>
      </c>
      <c r="K18" s="21">
        <f t="shared" si="1"/>
        <v>3.7902</v>
      </c>
      <c r="L18" s="44"/>
      <c r="M18" s="32">
        <f t="shared" si="2"/>
        <v>63.359000000000002</v>
      </c>
      <c r="N18" s="50"/>
    </row>
    <row r="19" spans="1:14" ht="15" thickBot="1" x14ac:dyDescent="0.4">
      <c r="A19" s="42"/>
      <c r="B19" s="2" t="s">
        <v>9</v>
      </c>
      <c r="C19" s="2">
        <f t="shared" si="0"/>
        <v>13</v>
      </c>
      <c r="D19" s="2">
        <v>17</v>
      </c>
      <c r="E19" s="2">
        <v>30</v>
      </c>
      <c r="F19" s="9">
        <v>3</v>
      </c>
      <c r="G19" s="2">
        <v>3</v>
      </c>
      <c r="H19" s="2">
        <v>0</v>
      </c>
      <c r="I19" s="29">
        <v>27.433</v>
      </c>
      <c r="J19" s="8">
        <v>2.4014000000000002</v>
      </c>
      <c r="K19" s="21">
        <f t="shared" si="1"/>
        <v>3.6021000000000001</v>
      </c>
      <c r="L19" s="45"/>
      <c r="M19" s="32">
        <f t="shared" si="2"/>
        <v>61.744500000000002</v>
      </c>
      <c r="N19" s="51"/>
    </row>
    <row r="20" spans="1:14" ht="15" thickBot="1" x14ac:dyDescent="0.4">
      <c r="A20" s="38" t="s">
        <v>10</v>
      </c>
      <c r="B20" s="39"/>
      <c r="C20" s="14">
        <f t="shared" ref="C20:J20" si="3">SUM(C4:C19)</f>
        <v>225</v>
      </c>
      <c r="D20" s="14">
        <f t="shared" si="3"/>
        <v>255</v>
      </c>
      <c r="E20" s="14">
        <f t="shared" si="3"/>
        <v>480</v>
      </c>
      <c r="F20" s="14">
        <f t="shared" si="3"/>
        <v>48</v>
      </c>
      <c r="G20" s="14">
        <f t="shared" si="3"/>
        <v>48</v>
      </c>
      <c r="H20" s="14">
        <f t="shared" si="3"/>
        <v>0</v>
      </c>
      <c r="I20" s="21">
        <f t="shared" si="3"/>
        <v>429.43899999999996</v>
      </c>
      <c r="J20" s="21">
        <f t="shared" si="3"/>
        <v>38.573700000000002</v>
      </c>
      <c r="K20" s="14"/>
      <c r="L20" s="21">
        <f>AVERAGE(L4:L19)</f>
        <v>2.7122132812500004</v>
      </c>
      <c r="M20" s="21">
        <f>SUM(M5:M19)</f>
        <v>921.80150000000003</v>
      </c>
      <c r="N20" s="21">
        <f>SUM(N4:N19)</f>
        <v>986.19350000000009</v>
      </c>
    </row>
  </sheetData>
  <mergeCells count="26">
    <mergeCell ref="L4:L7"/>
    <mergeCell ref="N4:N7"/>
    <mergeCell ref="A8:A11"/>
    <mergeCell ref="L8:L11"/>
    <mergeCell ref="N8:N11"/>
    <mergeCell ref="B2:B3"/>
    <mergeCell ref="C2:C3"/>
    <mergeCell ref="D2:D3"/>
    <mergeCell ref="E2:E3"/>
    <mergeCell ref="A4:A7"/>
    <mergeCell ref="L2:L3"/>
    <mergeCell ref="M2:M3"/>
    <mergeCell ref="N2:N3"/>
    <mergeCell ref="A20:B20"/>
    <mergeCell ref="A12:A15"/>
    <mergeCell ref="L12:L15"/>
    <mergeCell ref="N12:N15"/>
    <mergeCell ref="A16:A19"/>
    <mergeCell ref="L16:L19"/>
    <mergeCell ref="N16:N19"/>
    <mergeCell ref="F2:F3"/>
    <mergeCell ref="G2:G3"/>
    <mergeCell ref="I2:I3"/>
    <mergeCell ref="J2:J3"/>
    <mergeCell ref="K2:K3"/>
    <mergeCell ref="A2:A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110" workbookViewId="0">
      <selection activeCell="M4" sqref="M4"/>
    </sheetView>
  </sheetViews>
  <sheetFormatPr defaultRowHeight="14.5" x14ac:dyDescent="0.35"/>
  <cols>
    <col min="12" max="12" width="8.90625" bestFit="1" customWidth="1"/>
    <col min="13" max="14" width="9" bestFit="1" customWidth="1"/>
  </cols>
  <sheetData>
    <row r="1" spans="1:14" ht="15" thickBot="1" x14ac:dyDescent="0.4">
      <c r="A1" t="s">
        <v>51</v>
      </c>
    </row>
    <row r="2" spans="1:14" ht="21" x14ac:dyDescent="0.35">
      <c r="A2" s="34" t="s">
        <v>0</v>
      </c>
      <c r="B2" s="34" t="s">
        <v>1</v>
      </c>
      <c r="C2" s="34" t="s">
        <v>13</v>
      </c>
      <c r="D2" s="34" t="s">
        <v>2</v>
      </c>
      <c r="E2" s="34" t="s">
        <v>3</v>
      </c>
      <c r="F2" s="34" t="s">
        <v>4</v>
      </c>
      <c r="G2" s="34" t="s">
        <v>5</v>
      </c>
      <c r="H2" s="15" t="s">
        <v>14</v>
      </c>
      <c r="I2" s="34" t="s">
        <v>16</v>
      </c>
      <c r="J2" s="34" t="s">
        <v>47</v>
      </c>
      <c r="K2" s="34" t="s">
        <v>11</v>
      </c>
      <c r="L2" s="34" t="s">
        <v>12</v>
      </c>
      <c r="M2" s="36" t="s">
        <v>40</v>
      </c>
      <c r="N2" s="36" t="s">
        <v>41</v>
      </c>
    </row>
    <row r="3" spans="1:14" ht="15" thickBot="1" x14ac:dyDescent="0.4">
      <c r="A3" s="35"/>
      <c r="B3" s="35"/>
      <c r="C3" s="35"/>
      <c r="D3" s="35"/>
      <c r="E3" s="35"/>
      <c r="F3" s="35"/>
      <c r="G3" s="35"/>
      <c r="H3" s="16" t="s">
        <v>15</v>
      </c>
      <c r="I3" s="35"/>
      <c r="J3" s="35"/>
      <c r="K3" s="35"/>
      <c r="L3" s="35"/>
      <c r="M3" s="37"/>
      <c r="N3" s="37"/>
    </row>
    <row r="4" spans="1:14" ht="15" thickBot="1" x14ac:dyDescent="0.4">
      <c r="A4" s="40" t="s">
        <v>6</v>
      </c>
      <c r="B4" s="2" t="s">
        <v>6</v>
      </c>
      <c r="C4" s="2">
        <f>E4-D4</f>
        <v>10</v>
      </c>
      <c r="D4" s="2">
        <v>20</v>
      </c>
      <c r="E4" s="2">
        <v>30</v>
      </c>
      <c r="F4" s="9">
        <v>3</v>
      </c>
      <c r="G4" s="2">
        <v>3</v>
      </c>
      <c r="H4" s="2">
        <v>0</v>
      </c>
      <c r="I4" s="29">
        <v>27.44</v>
      </c>
      <c r="J4" s="8">
        <v>2.5335999999999999</v>
      </c>
      <c r="K4" s="21">
        <f>J4*45/E4</f>
        <v>3.8004000000000002</v>
      </c>
      <c r="L4" s="43">
        <f>(E4*K4+E5*K5+E6*K6+E7*K7)/160</f>
        <v>2.583421875</v>
      </c>
      <c r="M4" s="21">
        <f>0.5*I4+20*J4</f>
        <v>64.391999999999996</v>
      </c>
      <c r="N4" s="49">
        <f>SUM(M4:M7)</f>
        <v>238.30100000000002</v>
      </c>
    </row>
    <row r="5" spans="1:14" ht="15" thickBot="1" x14ac:dyDescent="0.4">
      <c r="A5" s="41"/>
      <c r="B5" s="2" t="s">
        <v>7</v>
      </c>
      <c r="C5" s="2">
        <f t="shared" ref="C5:C19" si="0">E5-D5</f>
        <v>17</v>
      </c>
      <c r="D5" s="2">
        <v>13</v>
      </c>
      <c r="E5" s="2">
        <v>30</v>
      </c>
      <c r="F5" s="9">
        <v>3</v>
      </c>
      <c r="G5" s="2">
        <v>3</v>
      </c>
      <c r="H5" s="2">
        <v>0</v>
      </c>
      <c r="I5" s="31">
        <v>23.523</v>
      </c>
      <c r="J5" s="8">
        <v>1.8959999999999999</v>
      </c>
      <c r="K5" s="21">
        <f t="shared" ref="K5:K19" si="1">J5*45/E5</f>
        <v>2.8439999999999999</v>
      </c>
      <c r="L5" s="44"/>
      <c r="M5" s="32">
        <f t="shared" ref="M5:M19" si="2">0.5*I5+20*J5</f>
        <v>49.6815</v>
      </c>
      <c r="N5" s="50"/>
    </row>
    <row r="6" spans="1:14" ht="15" thickBot="1" x14ac:dyDescent="0.4">
      <c r="A6" s="41"/>
      <c r="B6" s="2" t="s">
        <v>8</v>
      </c>
      <c r="C6" s="2">
        <f t="shared" si="0"/>
        <v>13</v>
      </c>
      <c r="D6" s="2">
        <v>17</v>
      </c>
      <c r="E6" s="2">
        <v>30</v>
      </c>
      <c r="F6" s="9">
        <v>3</v>
      </c>
      <c r="G6" s="2">
        <v>3</v>
      </c>
      <c r="H6" s="2">
        <v>0</v>
      </c>
      <c r="I6" s="29">
        <v>28.283999999999999</v>
      </c>
      <c r="J6" s="8">
        <v>2.3309000000000002</v>
      </c>
      <c r="K6" s="21">
        <f t="shared" si="1"/>
        <v>3.4963500000000001</v>
      </c>
      <c r="L6" s="44"/>
      <c r="M6" s="32">
        <f t="shared" si="2"/>
        <v>60.760000000000005</v>
      </c>
      <c r="N6" s="50"/>
    </row>
    <row r="7" spans="1:14" ht="15" thickBot="1" x14ac:dyDescent="0.4">
      <c r="A7" s="42"/>
      <c r="B7" s="2" t="s">
        <v>9</v>
      </c>
      <c r="C7" s="2">
        <f t="shared" si="0"/>
        <v>16</v>
      </c>
      <c r="D7" s="2">
        <v>14</v>
      </c>
      <c r="E7" s="2">
        <v>30</v>
      </c>
      <c r="F7" s="9">
        <v>3</v>
      </c>
      <c r="G7" s="2">
        <v>3</v>
      </c>
      <c r="H7" s="2">
        <v>0</v>
      </c>
      <c r="I7" s="31">
        <v>29.934999999999999</v>
      </c>
      <c r="J7" s="8">
        <v>2.4249999999999998</v>
      </c>
      <c r="K7" s="21">
        <f t="shared" si="1"/>
        <v>3.6374999999999997</v>
      </c>
      <c r="L7" s="45"/>
      <c r="M7" s="32">
        <f t="shared" si="2"/>
        <v>63.467500000000001</v>
      </c>
      <c r="N7" s="51"/>
    </row>
    <row r="8" spans="1:14" ht="15" thickBot="1" x14ac:dyDescent="0.4">
      <c r="A8" s="40" t="s">
        <v>7</v>
      </c>
      <c r="B8" s="2" t="s">
        <v>6</v>
      </c>
      <c r="C8" s="2">
        <f t="shared" si="0"/>
        <v>8</v>
      </c>
      <c r="D8" s="2">
        <v>12</v>
      </c>
      <c r="E8" s="2">
        <v>20</v>
      </c>
      <c r="F8" s="9">
        <v>3</v>
      </c>
      <c r="G8" s="2">
        <v>3</v>
      </c>
      <c r="H8" s="2">
        <v>0</v>
      </c>
      <c r="I8" s="29">
        <v>22.850999999999999</v>
      </c>
      <c r="J8" s="8">
        <v>1.3106</v>
      </c>
      <c r="K8" s="21">
        <f t="shared" si="1"/>
        <v>2.9488499999999997</v>
      </c>
      <c r="L8" s="43">
        <f>(E8*K8+E9*K9+E10*K10+E11*K11)/160</f>
        <v>2.5613156250000002</v>
      </c>
      <c r="M8" s="32">
        <f t="shared" si="2"/>
        <v>37.637500000000003</v>
      </c>
      <c r="N8" s="46">
        <f>SUM(M8:M11)</f>
        <v>233.14949999999999</v>
      </c>
    </row>
    <row r="9" spans="1:14" ht="15" thickBot="1" x14ac:dyDescent="0.4">
      <c r="A9" s="41"/>
      <c r="B9" s="2" t="s">
        <v>7</v>
      </c>
      <c r="C9" s="2">
        <f t="shared" si="0"/>
        <v>15</v>
      </c>
      <c r="D9" s="2">
        <v>25</v>
      </c>
      <c r="E9" s="2">
        <v>40</v>
      </c>
      <c r="F9" s="9">
        <v>3</v>
      </c>
      <c r="G9" s="2">
        <v>3</v>
      </c>
      <c r="H9" s="2">
        <v>0</v>
      </c>
      <c r="I9" s="21">
        <v>28.678000000000001</v>
      </c>
      <c r="J9" s="8">
        <v>3.4125999999999999</v>
      </c>
      <c r="K9" s="21">
        <f t="shared" si="1"/>
        <v>3.839175</v>
      </c>
      <c r="L9" s="44"/>
      <c r="M9" s="32">
        <f t="shared" si="2"/>
        <v>82.590999999999994</v>
      </c>
      <c r="N9" s="47"/>
    </row>
    <row r="10" spans="1:14" ht="15" thickBot="1" x14ac:dyDescent="0.4">
      <c r="A10" s="41"/>
      <c r="B10" s="2" t="s">
        <v>8</v>
      </c>
      <c r="C10" s="2">
        <f t="shared" si="0"/>
        <v>15</v>
      </c>
      <c r="D10" s="2">
        <v>20</v>
      </c>
      <c r="E10" s="2">
        <v>35</v>
      </c>
      <c r="F10" s="9">
        <v>3</v>
      </c>
      <c r="G10" s="2">
        <v>3</v>
      </c>
      <c r="H10" s="2">
        <v>0</v>
      </c>
      <c r="I10" s="29">
        <v>27.681000000000001</v>
      </c>
      <c r="J10" s="8">
        <v>2.6459999999999999</v>
      </c>
      <c r="K10" s="21">
        <f t="shared" si="1"/>
        <v>3.4019999999999997</v>
      </c>
      <c r="L10" s="44"/>
      <c r="M10" s="32">
        <f t="shared" si="2"/>
        <v>66.760500000000008</v>
      </c>
      <c r="N10" s="47"/>
    </row>
    <row r="11" spans="1:14" ht="15" thickBot="1" x14ac:dyDescent="0.4">
      <c r="A11" s="42"/>
      <c r="B11" s="2" t="s">
        <v>9</v>
      </c>
      <c r="C11" s="2">
        <f t="shared" si="0"/>
        <v>10</v>
      </c>
      <c r="D11" s="2">
        <v>15</v>
      </c>
      <c r="E11" s="2">
        <v>25</v>
      </c>
      <c r="F11" s="9">
        <v>3</v>
      </c>
      <c r="G11" s="2">
        <v>3</v>
      </c>
      <c r="H11" s="2">
        <v>0</v>
      </c>
      <c r="I11" s="29">
        <v>22.812999999999999</v>
      </c>
      <c r="J11" s="8">
        <v>1.7377</v>
      </c>
      <c r="K11" s="21">
        <f t="shared" si="1"/>
        <v>3.1278600000000001</v>
      </c>
      <c r="L11" s="45"/>
      <c r="M11" s="32">
        <f t="shared" si="2"/>
        <v>46.160499999999999</v>
      </c>
      <c r="N11" s="48"/>
    </row>
    <row r="12" spans="1:14" ht="15" thickBot="1" x14ac:dyDescent="0.4">
      <c r="A12" s="40" t="s">
        <v>8</v>
      </c>
      <c r="B12" s="2" t="s">
        <v>6</v>
      </c>
      <c r="C12" s="2">
        <f t="shared" si="0"/>
        <v>20</v>
      </c>
      <c r="D12" s="2">
        <v>20</v>
      </c>
      <c r="E12" s="2">
        <v>40</v>
      </c>
      <c r="F12" s="9">
        <v>3</v>
      </c>
      <c r="G12" s="2">
        <v>3</v>
      </c>
      <c r="H12" s="2">
        <v>0</v>
      </c>
      <c r="I12" s="29">
        <v>30.73</v>
      </c>
      <c r="J12" s="8">
        <v>3.2637</v>
      </c>
      <c r="K12" s="21">
        <f t="shared" si="1"/>
        <v>3.6716625000000001</v>
      </c>
      <c r="L12" s="43">
        <f>(E12*K12+E13*K13+E14*K14+E15*K15)/160</f>
        <v>2.8668093749999999</v>
      </c>
      <c r="M12" s="32">
        <f t="shared" si="2"/>
        <v>80.638999999999996</v>
      </c>
      <c r="N12" s="49">
        <f>SUM(M12:M15)</f>
        <v>257.16300000000001</v>
      </c>
    </row>
    <row r="13" spans="1:14" ht="15" thickBot="1" x14ac:dyDescent="0.4">
      <c r="A13" s="41"/>
      <c r="B13" s="2" t="s">
        <v>7</v>
      </c>
      <c r="C13" s="2">
        <f t="shared" si="0"/>
        <v>13</v>
      </c>
      <c r="D13" s="2">
        <v>7</v>
      </c>
      <c r="E13" s="2">
        <v>20</v>
      </c>
      <c r="F13" s="9">
        <v>3</v>
      </c>
      <c r="G13" s="2">
        <v>3</v>
      </c>
      <c r="H13" s="2">
        <v>0</v>
      </c>
      <c r="I13" s="29">
        <v>21.044</v>
      </c>
      <c r="J13" s="8">
        <v>1.702</v>
      </c>
      <c r="K13" s="21">
        <f t="shared" si="1"/>
        <v>3.8295000000000003</v>
      </c>
      <c r="L13" s="44"/>
      <c r="M13" s="32">
        <f t="shared" si="2"/>
        <v>44.561999999999998</v>
      </c>
      <c r="N13" s="50"/>
    </row>
    <row r="14" spans="1:14" ht="15" thickBot="1" x14ac:dyDescent="0.4">
      <c r="A14" s="41"/>
      <c r="B14" s="2" t="s">
        <v>8</v>
      </c>
      <c r="C14" s="2">
        <f t="shared" si="0"/>
        <v>7</v>
      </c>
      <c r="D14" s="2">
        <v>8</v>
      </c>
      <c r="E14" s="2">
        <v>15</v>
      </c>
      <c r="F14" s="9">
        <v>3</v>
      </c>
      <c r="G14" s="2">
        <v>3</v>
      </c>
      <c r="H14" s="2">
        <v>0</v>
      </c>
      <c r="I14" s="21">
        <v>15.895</v>
      </c>
      <c r="J14" s="8">
        <v>0.95069999999999999</v>
      </c>
      <c r="K14" s="21">
        <f t="shared" si="1"/>
        <v>2.8521000000000001</v>
      </c>
      <c r="L14" s="44"/>
      <c r="M14" s="32">
        <f t="shared" si="2"/>
        <v>26.961500000000001</v>
      </c>
      <c r="N14" s="50"/>
    </row>
    <row r="15" spans="1:14" ht="15" thickBot="1" x14ac:dyDescent="0.4">
      <c r="A15" s="42"/>
      <c r="B15" s="2" t="s">
        <v>9</v>
      </c>
      <c r="C15" s="2">
        <f t="shared" si="0"/>
        <v>24</v>
      </c>
      <c r="D15" s="2">
        <v>21</v>
      </c>
      <c r="E15" s="2">
        <v>45</v>
      </c>
      <c r="F15" s="9">
        <v>3</v>
      </c>
      <c r="G15" s="2">
        <v>3</v>
      </c>
      <c r="H15" s="2">
        <v>0</v>
      </c>
      <c r="I15" s="29">
        <v>38.933</v>
      </c>
      <c r="J15" s="8">
        <v>4.2766999999999999</v>
      </c>
      <c r="K15" s="21">
        <f t="shared" si="1"/>
        <v>4.2766999999999999</v>
      </c>
      <c r="L15" s="45"/>
      <c r="M15" s="32">
        <f t="shared" si="2"/>
        <v>105.00049999999999</v>
      </c>
      <c r="N15" s="51"/>
    </row>
    <row r="16" spans="1:14" ht="15" thickBot="1" x14ac:dyDescent="0.4">
      <c r="A16" s="40" t="s">
        <v>9</v>
      </c>
      <c r="B16" s="2" t="s">
        <v>6</v>
      </c>
      <c r="C16" s="2">
        <f t="shared" si="0"/>
        <v>18</v>
      </c>
      <c r="D16" s="2">
        <v>12</v>
      </c>
      <c r="E16" s="2">
        <v>30</v>
      </c>
      <c r="F16" s="9">
        <v>3</v>
      </c>
      <c r="G16" s="2">
        <v>3</v>
      </c>
      <c r="H16" s="2">
        <v>0</v>
      </c>
      <c r="I16" s="29">
        <v>27.513999999999999</v>
      </c>
      <c r="J16" s="8">
        <v>2.5301999999999998</v>
      </c>
      <c r="K16" s="21">
        <f t="shared" si="1"/>
        <v>3.7952999999999997</v>
      </c>
      <c r="L16" s="43">
        <f>(E16*K16+E17*K17+E18*K18+E19*K19)/160</f>
        <v>2.8117406249999997</v>
      </c>
      <c r="M16" s="32">
        <f t="shared" si="2"/>
        <v>64.361000000000004</v>
      </c>
      <c r="N16" s="49">
        <f>SUM(M16:M19)</f>
        <v>252.202</v>
      </c>
    </row>
    <row r="17" spans="1:14" ht="15" thickBot="1" x14ac:dyDescent="0.4">
      <c r="A17" s="41"/>
      <c r="B17" s="2" t="s">
        <v>7</v>
      </c>
      <c r="C17" s="2">
        <f t="shared" si="0"/>
        <v>14</v>
      </c>
      <c r="D17" s="2">
        <v>16</v>
      </c>
      <c r="E17" s="2">
        <v>30</v>
      </c>
      <c r="F17" s="9">
        <v>3</v>
      </c>
      <c r="G17" s="2">
        <v>3</v>
      </c>
      <c r="H17" s="2">
        <v>0</v>
      </c>
      <c r="I17" s="29">
        <v>23.919</v>
      </c>
      <c r="J17" s="8">
        <v>2.5388999999999999</v>
      </c>
      <c r="K17" s="21">
        <f t="shared" si="1"/>
        <v>3.8083499999999999</v>
      </c>
      <c r="L17" s="44"/>
      <c r="M17" s="32">
        <f t="shared" si="2"/>
        <v>62.737499999999997</v>
      </c>
      <c r="N17" s="50"/>
    </row>
    <row r="18" spans="1:14" ht="15" thickBot="1" x14ac:dyDescent="0.4">
      <c r="A18" s="41"/>
      <c r="B18" s="2" t="s">
        <v>8</v>
      </c>
      <c r="C18" s="2">
        <f t="shared" si="0"/>
        <v>12</v>
      </c>
      <c r="D18" s="2">
        <v>18</v>
      </c>
      <c r="E18" s="2">
        <v>30</v>
      </c>
      <c r="F18" s="9">
        <v>3</v>
      </c>
      <c r="G18" s="2">
        <v>3</v>
      </c>
      <c r="H18" s="2">
        <v>0</v>
      </c>
      <c r="I18" s="29">
        <v>25.646000000000001</v>
      </c>
      <c r="J18" s="8">
        <v>2.5268000000000002</v>
      </c>
      <c r="K18" s="21">
        <f t="shared" si="1"/>
        <v>3.7902</v>
      </c>
      <c r="L18" s="44"/>
      <c r="M18" s="32">
        <f t="shared" si="2"/>
        <v>63.359000000000002</v>
      </c>
      <c r="N18" s="50"/>
    </row>
    <row r="19" spans="1:14" ht="15" thickBot="1" x14ac:dyDescent="0.4">
      <c r="A19" s="42"/>
      <c r="B19" s="2" t="s">
        <v>9</v>
      </c>
      <c r="C19" s="2">
        <f t="shared" si="0"/>
        <v>13</v>
      </c>
      <c r="D19" s="2">
        <v>17</v>
      </c>
      <c r="E19" s="2">
        <v>30</v>
      </c>
      <c r="F19" s="9">
        <v>3</v>
      </c>
      <c r="G19" s="2">
        <v>3</v>
      </c>
      <c r="H19" s="2">
        <v>0</v>
      </c>
      <c r="I19" s="29">
        <v>27.433</v>
      </c>
      <c r="J19" s="8">
        <v>2.4014000000000002</v>
      </c>
      <c r="K19" s="21">
        <f t="shared" si="1"/>
        <v>3.6021000000000001</v>
      </c>
      <c r="L19" s="45"/>
      <c r="M19" s="32">
        <f t="shared" si="2"/>
        <v>61.744500000000002</v>
      </c>
      <c r="N19" s="51"/>
    </row>
    <row r="20" spans="1:14" ht="15" thickBot="1" x14ac:dyDescent="0.4">
      <c r="A20" s="38" t="s">
        <v>10</v>
      </c>
      <c r="B20" s="39"/>
      <c r="C20" s="14">
        <f t="shared" ref="C20:J20" si="3">SUM(C4:C19)</f>
        <v>225</v>
      </c>
      <c r="D20" s="14">
        <f t="shared" si="3"/>
        <v>255</v>
      </c>
      <c r="E20" s="14">
        <f t="shared" si="3"/>
        <v>480</v>
      </c>
      <c r="F20" s="14">
        <f t="shared" si="3"/>
        <v>48</v>
      </c>
      <c r="G20" s="14">
        <f t="shared" si="3"/>
        <v>48</v>
      </c>
      <c r="H20" s="14">
        <f t="shared" si="3"/>
        <v>0</v>
      </c>
      <c r="I20" s="21">
        <f t="shared" si="3"/>
        <v>422.31899999999996</v>
      </c>
      <c r="J20" s="21">
        <f t="shared" si="3"/>
        <v>38.482800000000005</v>
      </c>
      <c r="K20" s="14"/>
      <c r="L20" s="21">
        <f>AVERAGE(L4:L19)</f>
        <v>2.7058218749999998</v>
      </c>
      <c r="M20" s="21">
        <f>SUM(M5:M19)</f>
        <v>916.42349999999999</v>
      </c>
      <c r="N20" s="21">
        <f>SUM(N4:N19)</f>
        <v>980.81550000000004</v>
      </c>
    </row>
  </sheetData>
  <mergeCells count="26">
    <mergeCell ref="L4:L7"/>
    <mergeCell ref="N4:N7"/>
    <mergeCell ref="A8:A11"/>
    <mergeCell ref="L8:L11"/>
    <mergeCell ref="N8:N11"/>
    <mergeCell ref="B2:B3"/>
    <mergeCell ref="C2:C3"/>
    <mergeCell ref="D2:D3"/>
    <mergeCell ref="E2:E3"/>
    <mergeCell ref="A4:A7"/>
    <mergeCell ref="L2:L3"/>
    <mergeCell ref="M2:M3"/>
    <mergeCell ref="N2:N3"/>
    <mergeCell ref="A20:B20"/>
    <mergeCell ref="A12:A15"/>
    <mergeCell ref="L12:L15"/>
    <mergeCell ref="N12:N15"/>
    <mergeCell ref="A16:A19"/>
    <mergeCell ref="L16:L19"/>
    <mergeCell ref="N16:N19"/>
    <mergeCell ref="F2:F3"/>
    <mergeCell ref="G2:G3"/>
    <mergeCell ref="I2:I3"/>
    <mergeCell ref="J2:J3"/>
    <mergeCell ref="K2:K3"/>
    <mergeCell ref="A2:A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2" zoomScale="115" zoomScaleNormal="115" workbookViewId="0">
      <selection activeCell="I9" sqref="I9"/>
    </sheetView>
  </sheetViews>
  <sheetFormatPr defaultRowHeight="14.5" x14ac:dyDescent="0.35"/>
  <cols>
    <col min="2" max="2" width="7.6328125" customWidth="1"/>
    <col min="3" max="3" width="9.90625" customWidth="1"/>
    <col min="10" max="10" width="10.36328125" bestFit="1" customWidth="1"/>
  </cols>
  <sheetData>
    <row r="1" spans="1:10" ht="15" thickBot="1" x14ac:dyDescent="0.4">
      <c r="A1" s="52" t="s">
        <v>17</v>
      </c>
      <c r="B1" s="57" t="s">
        <v>18</v>
      </c>
      <c r="C1" s="58"/>
      <c r="D1" s="57" t="s">
        <v>19</v>
      </c>
      <c r="E1" s="58"/>
      <c r="F1" s="57" t="s">
        <v>20</v>
      </c>
      <c r="G1" s="58"/>
      <c r="H1" s="57" t="s">
        <v>21</v>
      </c>
      <c r="I1" s="58"/>
      <c r="J1" s="52" t="s">
        <v>22</v>
      </c>
    </row>
    <row r="2" spans="1:10" ht="52.5" thickBot="1" x14ac:dyDescent="0.4">
      <c r="A2" s="53"/>
      <c r="B2" s="3" t="s">
        <v>23</v>
      </c>
      <c r="C2" s="3" t="s">
        <v>46</v>
      </c>
      <c r="D2" s="3" t="s">
        <v>24</v>
      </c>
      <c r="E2" s="3" t="s">
        <v>46</v>
      </c>
      <c r="F2" s="3" t="s">
        <v>24</v>
      </c>
      <c r="G2" s="3" t="s">
        <v>46</v>
      </c>
      <c r="H2" s="3" t="s">
        <v>24</v>
      </c>
      <c r="I2" s="3" t="s">
        <v>25</v>
      </c>
      <c r="J2" s="53"/>
    </row>
    <row r="3" spans="1:10" ht="15" thickBot="1" x14ac:dyDescent="0.4">
      <c r="A3" s="10" t="s">
        <v>26</v>
      </c>
      <c r="B3" s="12" t="s">
        <v>57</v>
      </c>
      <c r="C3" s="11">
        <v>1.6641999999999999</v>
      </c>
      <c r="D3" s="3" t="s">
        <v>58</v>
      </c>
      <c r="E3" s="11">
        <v>1.2961</v>
      </c>
      <c r="F3" s="3" t="s">
        <v>59</v>
      </c>
      <c r="G3" s="11">
        <v>1.5164</v>
      </c>
      <c r="H3" s="3" t="s">
        <v>49</v>
      </c>
      <c r="I3" s="11">
        <v>1.5724</v>
      </c>
      <c r="J3" s="11">
        <f>AVERAGE(I3,G3,E3,C3)</f>
        <v>1.512275</v>
      </c>
    </row>
    <row r="4" spans="1:10" ht="15" thickBot="1" x14ac:dyDescent="0.4">
      <c r="A4" s="10" t="s">
        <v>27</v>
      </c>
      <c r="B4" s="12" t="s">
        <v>60</v>
      </c>
      <c r="C4" s="11">
        <v>1.4862</v>
      </c>
      <c r="D4" s="3" t="s">
        <v>61</v>
      </c>
      <c r="E4" s="11">
        <v>1.5125999999999999</v>
      </c>
      <c r="F4" s="3" t="s">
        <v>62</v>
      </c>
      <c r="G4" s="11">
        <v>1.4121999999999999</v>
      </c>
      <c r="H4" s="3" t="s">
        <v>63</v>
      </c>
      <c r="I4" s="11">
        <v>1.5156000000000001</v>
      </c>
      <c r="J4" s="11">
        <f>AVERAGE(I4,G4,E4,C4)</f>
        <v>1.4816500000000001</v>
      </c>
    </row>
    <row r="5" spans="1:10" ht="15" thickBot="1" x14ac:dyDescent="0.4">
      <c r="A5" s="10" t="s">
        <v>28</v>
      </c>
      <c r="B5" s="12" t="s">
        <v>64</v>
      </c>
      <c r="C5" s="11">
        <v>1.4685999999999999</v>
      </c>
      <c r="D5" s="3" t="s">
        <v>44</v>
      </c>
      <c r="E5" s="11">
        <v>1.7235</v>
      </c>
      <c r="F5" s="3" t="s">
        <v>65</v>
      </c>
      <c r="G5" s="11">
        <v>1.5402</v>
      </c>
      <c r="H5" s="3" t="s">
        <v>48</v>
      </c>
      <c r="I5" s="11">
        <v>1.6904999999999999</v>
      </c>
      <c r="J5" s="11">
        <f>AVERAGE(I5,G5,E5,C5)</f>
        <v>1.6057000000000001</v>
      </c>
    </row>
    <row r="6" spans="1:10" ht="15" thickBot="1" x14ac:dyDescent="0.4">
      <c r="A6" s="10" t="s">
        <v>29</v>
      </c>
      <c r="B6" s="12" t="s">
        <v>66</v>
      </c>
      <c r="C6" s="11">
        <v>1.5905</v>
      </c>
      <c r="D6" s="3" t="s">
        <v>67</v>
      </c>
      <c r="E6" s="11">
        <v>1.7102999999999999</v>
      </c>
      <c r="F6" s="3" t="s">
        <v>45</v>
      </c>
      <c r="G6" s="11">
        <v>1.6575</v>
      </c>
      <c r="H6" s="3" t="s">
        <v>59</v>
      </c>
      <c r="I6" s="11">
        <v>1.5497000000000001</v>
      </c>
      <c r="J6" s="11">
        <f>AVERAGE(I6,G6,E6,C6)</f>
        <v>1.6270000000000002</v>
      </c>
    </row>
    <row r="7" spans="1:10" ht="15" thickBot="1" x14ac:dyDescent="0.4">
      <c r="A7" s="54" t="s">
        <v>30</v>
      </c>
      <c r="B7" s="55"/>
      <c r="C7" s="55"/>
      <c r="D7" s="55"/>
      <c r="E7" s="55"/>
      <c r="F7" s="55"/>
      <c r="G7" s="55"/>
      <c r="H7" s="55"/>
      <c r="I7" s="56"/>
      <c r="J7" s="11">
        <f>AVERAGE(J3:J6)</f>
        <v>1.5566562500000001</v>
      </c>
    </row>
    <row r="8" spans="1:10" x14ac:dyDescent="0.35">
      <c r="A8" s="4" t="s">
        <v>31</v>
      </c>
    </row>
  </sheetData>
  <mergeCells count="7">
    <mergeCell ref="J1:J2"/>
    <mergeCell ref="A7:I7"/>
    <mergeCell ref="A1:A2"/>
    <mergeCell ref="B1:C1"/>
    <mergeCell ref="D1:E1"/>
    <mergeCell ref="F1:G1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Analysis</vt:lpstr>
      <vt:lpstr>ratio3</vt:lpstr>
      <vt:lpstr>ratio3.5</vt:lpstr>
      <vt:lpstr>ratio4</vt:lpstr>
      <vt:lpstr>passengers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Amirreza Nickkar</cp:lastModifiedBy>
  <dcterms:created xsi:type="dcterms:W3CDTF">2017-11-25T12:35:23Z</dcterms:created>
  <dcterms:modified xsi:type="dcterms:W3CDTF">2018-04-15T00:24:04Z</dcterms:modified>
</cp:coreProperties>
</file>