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Folders\Lee projects\Papers\Rural Version\"/>
    </mc:Choice>
  </mc:AlternateContent>
  <bookViews>
    <workbookView xWindow="0" yWindow="0" windowWidth="19200" windowHeight="7050" tabRatio="705" activeTab="1"/>
  </bookViews>
  <sheets>
    <sheet name="Analysis" sheetId="6" r:id="rId1"/>
    <sheet name="ratio3" sheetId="15" r:id="rId2"/>
    <sheet name="ratio3.5" sheetId="10" r:id="rId3"/>
    <sheet name="ratio4" sheetId="3" r:id="rId4"/>
    <sheet name="passengers info" sheetId="5" r:id="rId5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1" i="15" l="1"/>
  <c r="P20" i="15"/>
  <c r="P5" i="15"/>
  <c r="P6" i="15"/>
  <c r="P7" i="15"/>
  <c r="P8" i="15"/>
  <c r="P9" i="15"/>
  <c r="P10" i="15"/>
  <c r="P11" i="15"/>
  <c r="P12" i="15"/>
  <c r="P13" i="15"/>
  <c r="P14" i="15"/>
  <c r="P15" i="15"/>
  <c r="P16" i="15"/>
  <c r="P17" i="15"/>
  <c r="P18" i="15"/>
  <c r="P19" i="15"/>
  <c r="P4" i="15"/>
  <c r="O20" i="15" l="1"/>
  <c r="O5" i="15"/>
  <c r="O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4" i="15"/>
  <c r="J4" i="5" l="1"/>
  <c r="J5" i="5"/>
  <c r="J6" i="5"/>
  <c r="C8" i="15" l="1"/>
  <c r="C12" i="15"/>
  <c r="M5" i="15" l="1"/>
  <c r="M6" i="15"/>
  <c r="M7" i="15"/>
  <c r="M8" i="15"/>
  <c r="M9" i="15"/>
  <c r="M10" i="15"/>
  <c r="M11" i="15"/>
  <c r="M12" i="15"/>
  <c r="M13" i="15"/>
  <c r="M14" i="15"/>
  <c r="M15" i="15"/>
  <c r="M16" i="15"/>
  <c r="M17" i="15"/>
  <c r="M18" i="15"/>
  <c r="M19" i="15"/>
  <c r="M19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4" i="3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4" i="10"/>
  <c r="M4" i="15"/>
  <c r="J20" i="15" l="1"/>
  <c r="I20" i="15"/>
  <c r="H20" i="15"/>
  <c r="G20" i="15"/>
  <c r="B3" i="6" s="1"/>
  <c r="F20" i="15"/>
  <c r="E20" i="15"/>
  <c r="D20" i="15"/>
  <c r="K19" i="15"/>
  <c r="C19" i="15"/>
  <c r="K18" i="15"/>
  <c r="C18" i="15"/>
  <c r="K17" i="15"/>
  <c r="C17" i="15"/>
  <c r="K16" i="15"/>
  <c r="C16" i="15"/>
  <c r="K15" i="15"/>
  <c r="C15" i="15"/>
  <c r="K14" i="15"/>
  <c r="C14" i="15"/>
  <c r="K13" i="15"/>
  <c r="C13" i="15"/>
  <c r="K12" i="15"/>
  <c r="K11" i="15"/>
  <c r="C11" i="15"/>
  <c r="K10" i="15"/>
  <c r="C10" i="15"/>
  <c r="K9" i="15"/>
  <c r="C9" i="15"/>
  <c r="K8" i="15"/>
  <c r="K7" i="15"/>
  <c r="C7" i="15"/>
  <c r="K6" i="15"/>
  <c r="C6" i="15"/>
  <c r="K5" i="15"/>
  <c r="C5" i="15"/>
  <c r="K4" i="15"/>
  <c r="C4" i="15"/>
  <c r="J20" i="10"/>
  <c r="I20" i="10"/>
  <c r="H20" i="10"/>
  <c r="G20" i="10"/>
  <c r="B4" i="6" s="1"/>
  <c r="F20" i="10"/>
  <c r="E20" i="10"/>
  <c r="D20" i="10"/>
  <c r="K19" i="10"/>
  <c r="C19" i="10"/>
  <c r="K18" i="10"/>
  <c r="C18" i="10"/>
  <c r="K17" i="10"/>
  <c r="C17" i="10"/>
  <c r="K16" i="10"/>
  <c r="C16" i="10"/>
  <c r="K15" i="10"/>
  <c r="C15" i="10"/>
  <c r="K14" i="10"/>
  <c r="C14" i="10"/>
  <c r="K13" i="10"/>
  <c r="C13" i="10"/>
  <c r="K12" i="10"/>
  <c r="C12" i="10"/>
  <c r="K11" i="10"/>
  <c r="C11" i="10"/>
  <c r="K10" i="10"/>
  <c r="C10" i="10"/>
  <c r="K9" i="10"/>
  <c r="C9" i="10"/>
  <c r="K8" i="10"/>
  <c r="C8" i="10"/>
  <c r="K7" i="10"/>
  <c r="C7" i="10"/>
  <c r="K6" i="10"/>
  <c r="C6" i="10"/>
  <c r="K5" i="10"/>
  <c r="C5" i="10"/>
  <c r="K4" i="10"/>
  <c r="C4" i="10"/>
  <c r="J20" i="3"/>
  <c r="I20" i="3"/>
  <c r="H20" i="3"/>
  <c r="G20" i="3"/>
  <c r="B5" i="6" s="1"/>
  <c r="F20" i="3"/>
  <c r="E20" i="3"/>
  <c r="D20" i="3"/>
  <c r="K19" i="3"/>
  <c r="C19" i="3"/>
  <c r="K18" i="3"/>
  <c r="C18" i="3"/>
  <c r="K17" i="3"/>
  <c r="C17" i="3"/>
  <c r="K16" i="3"/>
  <c r="C16" i="3"/>
  <c r="K15" i="3"/>
  <c r="C15" i="3"/>
  <c r="K14" i="3"/>
  <c r="C14" i="3"/>
  <c r="K13" i="3"/>
  <c r="C13" i="3"/>
  <c r="K12" i="3"/>
  <c r="C12" i="3"/>
  <c r="K11" i="3"/>
  <c r="C11" i="3"/>
  <c r="K10" i="3"/>
  <c r="C10" i="3"/>
  <c r="K9" i="3"/>
  <c r="C9" i="3"/>
  <c r="K8" i="3"/>
  <c r="C8" i="3"/>
  <c r="K7" i="3"/>
  <c r="C7" i="3"/>
  <c r="K6" i="3"/>
  <c r="C6" i="3"/>
  <c r="K5" i="3"/>
  <c r="C5" i="3"/>
  <c r="K4" i="3"/>
  <c r="C4" i="3"/>
  <c r="C20" i="15" l="1"/>
  <c r="C20" i="3"/>
  <c r="L12" i="10"/>
  <c r="D3" i="6"/>
  <c r="C3" i="6" s="1"/>
  <c r="C9" i="6"/>
  <c r="E9" i="6" s="1"/>
  <c r="D4" i="6"/>
  <c r="C4" i="6" s="1"/>
  <c r="C10" i="6"/>
  <c r="E10" i="6" s="1"/>
  <c r="E4" i="6"/>
  <c r="B10" i="6"/>
  <c r="D10" i="6" s="1"/>
  <c r="D5" i="6"/>
  <c r="C5" i="6" s="1"/>
  <c r="C11" i="6"/>
  <c r="E11" i="6" s="1"/>
  <c r="E5" i="6"/>
  <c r="B11" i="6"/>
  <c r="D11" i="6" s="1"/>
  <c r="E3" i="6"/>
  <c r="B9" i="6"/>
  <c r="D9" i="6" s="1"/>
  <c r="L16" i="3"/>
  <c r="C20" i="10"/>
  <c r="N8" i="15"/>
  <c r="N12" i="15"/>
  <c r="N16" i="15"/>
  <c r="N16" i="3"/>
  <c r="L16" i="10"/>
  <c r="N16" i="10"/>
  <c r="L16" i="15"/>
  <c r="L12" i="15"/>
  <c r="N12" i="10"/>
  <c r="L12" i="3"/>
  <c r="N12" i="3"/>
  <c r="L8" i="3"/>
  <c r="N8" i="3"/>
  <c r="L8" i="10"/>
  <c r="L8" i="15"/>
  <c r="N8" i="10"/>
  <c r="L4" i="3"/>
  <c r="M20" i="3"/>
  <c r="N4" i="3"/>
  <c r="M20" i="10"/>
  <c r="L4" i="10"/>
  <c r="N4" i="10"/>
  <c r="L4" i="15"/>
  <c r="M20" i="15"/>
  <c r="N4" i="15"/>
  <c r="F10" i="6" l="1"/>
  <c r="F9" i="6"/>
  <c r="F11" i="6"/>
  <c r="N20" i="15"/>
  <c r="I3" i="6" s="1"/>
  <c r="L20" i="10"/>
  <c r="G4" i="6" s="1"/>
  <c r="N20" i="10"/>
  <c r="I4" i="6" s="1"/>
  <c r="L20" i="3"/>
  <c r="G5" i="6" s="1"/>
  <c r="L20" i="15"/>
  <c r="G3" i="6" s="1"/>
  <c r="N20" i="3"/>
  <c r="I5" i="6" s="1"/>
  <c r="J3" i="5" l="1"/>
  <c r="J7" i="5" s="1"/>
  <c r="F4" i="6" l="1"/>
  <c r="H4" i="6" s="1"/>
  <c r="F3" i="6"/>
  <c r="H3" i="6" s="1"/>
  <c r="F5" i="6"/>
  <c r="H5" i="6" s="1"/>
</calcChain>
</file>

<file path=xl/sharedStrings.xml><?xml version="1.0" encoding="utf-8"?>
<sst xmlns="http://schemas.openxmlformats.org/spreadsheetml/2006/main" count="169" uniqueCount="66">
  <si>
    <t>Train</t>
  </si>
  <si>
    <t>Station</t>
  </si>
  <si>
    <t>Alighting Passengers</t>
  </si>
  <si>
    <t>Total Passengers</t>
  </si>
  <si>
    <t>Available Buses</t>
  </si>
  <si>
    <t>Used Buses</t>
  </si>
  <si>
    <t>#1</t>
  </si>
  <si>
    <t>#2</t>
  </si>
  <si>
    <t>#3</t>
  </si>
  <si>
    <t>#4</t>
  </si>
  <si>
    <t>Total</t>
  </si>
  <si>
    <t>Average passenger distance travelled to each station (Km)</t>
  </si>
  <si>
    <t>Total passenger average distance travelled (Km)</t>
  </si>
  <si>
    <t>Boarding Passengers</t>
  </si>
  <si>
    <t>Relocation Buses</t>
  </si>
  <si>
    <t xml:space="preserve"> (+,-)</t>
  </si>
  <si>
    <t>Vehicle travelled Distance (Km)</t>
  </si>
  <si>
    <t>Passengers status in stations</t>
  </si>
  <si>
    <t>Station 1</t>
  </si>
  <si>
    <t>Station 2</t>
  </si>
  <si>
    <t>Station 3</t>
  </si>
  <si>
    <t>Station 4</t>
  </si>
  <si>
    <t>Average total direct distance (Km)</t>
  </si>
  <si>
    <r>
      <t>(B/L)</t>
    </r>
    <r>
      <rPr>
        <sz val="8"/>
        <color theme="1"/>
        <rFont val="Times New Roman"/>
        <family val="1"/>
      </rPr>
      <t> </t>
    </r>
  </si>
  <si>
    <t>(B/L)</t>
  </si>
  <si>
    <t>Average direct  distance (Km)</t>
  </si>
  <si>
    <t>Train 1</t>
  </si>
  <si>
    <t>Train 2</t>
  </si>
  <si>
    <t>Train 3</t>
  </si>
  <si>
    <t>Train 4</t>
  </si>
  <si>
    <t>Average passenger total direct distance (Km)</t>
  </si>
  <si>
    <r>
      <t> </t>
    </r>
    <r>
      <rPr>
        <sz val="10"/>
        <color theme="1"/>
        <rFont val="Times New Roman"/>
        <family val="1"/>
      </rPr>
      <t>Boarding/Alighting (prs)</t>
    </r>
  </si>
  <si>
    <t>Models</t>
  </si>
  <si>
    <t>Total used buses</t>
  </si>
  <si>
    <t>Average vehicles travelled distance (Km) </t>
  </si>
  <si>
    <t>Total vehicles travelled distance (Km)</t>
  </si>
  <si>
    <t>Average passengers total travel time (h)</t>
  </si>
  <si>
    <t xml:space="preserve">Circuity of passenger travels due to feeder bus routings </t>
  </si>
  <si>
    <t>With ratio of 3</t>
  </si>
  <si>
    <t>With ratio of 4</t>
  </si>
  <si>
    <t>cost</t>
  </si>
  <si>
    <t>total cost</t>
  </si>
  <si>
    <t>With ratio of 3.5</t>
  </si>
  <si>
    <t>Total Cost</t>
  </si>
  <si>
    <t>17+23</t>
  </si>
  <si>
    <t>19+21</t>
  </si>
  <si>
    <t>21+19</t>
  </si>
  <si>
    <t>18+22</t>
  </si>
  <si>
    <t>22+18</t>
  </si>
  <si>
    <t>Average direct distance (Km)</t>
  </si>
  <si>
    <t>Total Passenger travel time (hour)</t>
  </si>
  <si>
    <t>16+14</t>
  </si>
  <si>
    <t>revised time value 20</t>
  </si>
  <si>
    <t>Revised Time value 20</t>
  </si>
  <si>
    <t>Total vehicle travel distance (km)</t>
  </si>
  <si>
    <t>Total passenger travel time (h)</t>
  </si>
  <si>
    <t>Total passenger travel Cost($)</t>
  </si>
  <si>
    <t>Total vehicle operation cost ($)</t>
  </si>
  <si>
    <t>Total Cost ($)</t>
  </si>
  <si>
    <t>25+25</t>
  </si>
  <si>
    <t>12+8</t>
  </si>
  <si>
    <t>29+31</t>
  </si>
  <si>
    <t>5+5</t>
  </si>
  <si>
    <t>37+33</t>
  </si>
  <si>
    <t>29+11</t>
  </si>
  <si>
    <t>5+15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</si>
</sst>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u/>
      <sz val="8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5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1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2" fontId="2" fillId="0" borderId="8" xfId="0" applyNumberFormat="1" applyFont="1" applyBorder="1" applyAlignment="1">
      <alignment vertical="center" wrapText="1"/>
    </xf>
    <xf numFmtId="2" fontId="2" fillId="0" borderId="5" xfId="0" applyNumberFormat="1" applyFont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2" fontId="3" fillId="0" borderId="1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3" fillId="0" borderId="10" xfId="0" applyNumberFormat="1" applyFont="1" applyFill="1" applyBorder="1" applyAlignment="1">
      <alignment horizontal="center" vertical="center" wrapText="1"/>
    </xf>
    <xf numFmtId="2" fontId="3" fillId="0" borderId="12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v>Total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Analysis!$I$3:$I$5</c:f>
              <c:numCache>
                <c:formatCode>0.00</c:formatCode>
                <c:ptCount val="3"/>
                <c:pt idx="0">
                  <c:v>1412.0880000000002</c:v>
                </c:pt>
                <c:pt idx="1">
                  <c:v>1384.0949999999998</c:v>
                </c:pt>
                <c:pt idx="2">
                  <c:v>1390.3058000000001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40D-40C7-8F4C-FFB57FF73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Analysis!$E$9:$E$11</c15:sqref>
                        </c15:formulaRef>
                      </c:ext>
                    </c:extLst>
                    <c:numCache>
                      <c:formatCode>0.000</c:formatCode>
                      <c:ptCount val="3"/>
                      <c:pt idx="0">
                        <c:v>159.7944</c:v>
                      </c:pt>
                      <c:pt idx="1">
                        <c:v>150.8646</c:v>
                      </c:pt>
                      <c:pt idx="2">
                        <c:v>147.06947999999997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9E3-483A-B2C1-9F38E993E0B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Analysis!$D$9:$D$11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1145.7640000000001</c:v>
                      </c:pt>
                      <c:pt idx="1">
                        <c:v>1132.654</c:v>
                      </c:pt>
                      <c:pt idx="2">
                        <c:v>1145.19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9E3-483A-B2C1-9F38E993E0BF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8632674755987109"/>
          <c:h val="0.83434407003514743"/>
        </c:manualLayout>
      </c:layout>
      <c:lineChart>
        <c:grouping val="standard"/>
        <c:varyColors val="0"/>
        <c:ser>
          <c:idx val="2"/>
          <c:order val="2"/>
          <c:tx>
            <c:v>Total passenger travel cost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Analysis!$D$9:$D$11</c:f>
              <c:numCache>
                <c:formatCode>0.00</c:formatCode>
                <c:ptCount val="3"/>
                <c:pt idx="0">
                  <c:v>1145.7640000000001</c:v>
                </c:pt>
                <c:pt idx="1">
                  <c:v>1132.654</c:v>
                </c:pt>
                <c:pt idx="2">
                  <c:v>1145.19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6CBB-497A-9566-D5EC307D8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Analysis!$I$3:$I$5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1412.0880000000002</c:v>
                      </c:pt>
                      <c:pt idx="1">
                        <c:v>1384.0949999999998</c:v>
                      </c:pt>
                      <c:pt idx="2">
                        <c:v>1390.3058000000001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6CBB-497A-9566-D5EC307D8DC8}"/>
                  </c:ext>
                </c:extLst>
              </c15:ser>
            </c15:filteredLineSeries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Analysis!$E$9:$E$11</c15:sqref>
                        </c15:formulaRef>
                      </c:ext>
                    </c:extLst>
                    <c:numCache>
                      <c:formatCode>0.000</c:formatCode>
                      <c:ptCount val="3"/>
                      <c:pt idx="0">
                        <c:v>159.7944</c:v>
                      </c:pt>
                      <c:pt idx="1">
                        <c:v>150.8646</c:v>
                      </c:pt>
                      <c:pt idx="2">
                        <c:v>147.06947999999997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BB-497A-9566-D5EC307D8DC8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430903460614758"/>
          <c:y val="5.8438643465960331E-2"/>
          <c:w val="0.27718595649933048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702278932275215"/>
          <c:h val="0.83434407003514743"/>
        </c:manualLayout>
      </c:layout>
      <c:lineChart>
        <c:grouping val="standard"/>
        <c:varyColors val="0"/>
        <c:ser>
          <c:idx val="0"/>
          <c:order val="1"/>
          <c:tx>
            <c:v>Total vehicle operation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Analysis!$E$9:$E$11</c:f>
              <c:numCache>
                <c:formatCode>0.000</c:formatCode>
                <c:ptCount val="3"/>
                <c:pt idx="0">
                  <c:v>159.7944</c:v>
                </c:pt>
                <c:pt idx="1">
                  <c:v>150.8646</c:v>
                </c:pt>
                <c:pt idx="2">
                  <c:v>147.06947999999997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D143-4C40-A32E-CAB3623FE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Analysis!$I$3:$I$5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1412.0880000000002</c:v>
                      </c:pt>
                      <c:pt idx="1">
                        <c:v>1384.0949999999998</c:v>
                      </c:pt>
                      <c:pt idx="2">
                        <c:v>1390.3058000000001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D143-4C40-A32E-CAB3623FE62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Analysis!$D$9:$D$11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1145.7640000000001</c:v>
                      </c:pt>
                      <c:pt idx="1">
                        <c:v>1132.654</c:v>
                      </c:pt>
                      <c:pt idx="2">
                        <c:v>1145.19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143-4C40-A32E-CAB3623FE624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4054443311433835"/>
          <c:y val="5.8438643465960331E-2"/>
          <c:w val="0.28461804737478102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354138</xdr:colOff>
      <xdr:row>1</xdr:row>
      <xdr:rowOff>33422</xdr:rowOff>
    </xdr:from>
    <xdr:to>
      <xdr:col>19</xdr:col>
      <xdr:colOff>132979</xdr:colOff>
      <xdr:row>11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574842</xdr:colOff>
      <xdr:row>11</xdr:row>
      <xdr:rowOff>100263</xdr:rowOff>
    </xdr:from>
    <xdr:to>
      <xdr:col>20</xdr:col>
      <xdr:colOff>353684</xdr:colOff>
      <xdr:row>30</xdr:row>
      <xdr:rowOff>8238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280737</xdr:colOff>
      <xdr:row>11</xdr:row>
      <xdr:rowOff>106948</xdr:rowOff>
    </xdr:from>
    <xdr:to>
      <xdr:col>10</xdr:col>
      <xdr:colOff>600999</xdr:colOff>
      <xdr:row>30</xdr:row>
      <xdr:rowOff>14923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11"/>
  <sheetViews>
    <sheetView zoomScale="95" zoomScaleNormal="130" workbookViewId="0">
      <selection activeCell="G39" sqref="G39"/>
    </sheetView>
  </sheetViews>
  <sheetFormatPr defaultRowHeight="14.5" x14ac:dyDescent="0.35"/>
  <cols>
    <col min="1" max="1" width="10.90625" bestFit="1" customWidth="1"/>
    <col min="7" max="7" width="9.6328125" bestFit="1" customWidth="1"/>
  </cols>
  <sheetData>
    <row r="1" spans="1:9" ht="15" thickBot="1" x14ac:dyDescent="0.4">
      <c r="A1" t="s">
        <v>52</v>
      </c>
    </row>
    <row r="2" spans="1:9" ht="53" thickBot="1" x14ac:dyDescent="0.4">
      <c r="A2" s="5" t="s">
        <v>32</v>
      </c>
      <c r="B2" s="6" t="s">
        <v>33</v>
      </c>
      <c r="C2" s="6" t="s">
        <v>34</v>
      </c>
      <c r="D2" s="6" t="s">
        <v>35</v>
      </c>
      <c r="E2" s="6" t="s">
        <v>36</v>
      </c>
      <c r="F2" s="6" t="s">
        <v>30</v>
      </c>
      <c r="G2" s="6" t="s">
        <v>12</v>
      </c>
      <c r="H2" s="1" t="s">
        <v>37</v>
      </c>
      <c r="I2" s="1" t="s">
        <v>43</v>
      </c>
    </row>
    <row r="3" spans="1:9" ht="15" thickBot="1" x14ac:dyDescent="0.4">
      <c r="A3" s="13" t="s">
        <v>38</v>
      </c>
      <c r="B3" s="17">
        <f>ratio3!G20</f>
        <v>48</v>
      </c>
      <c r="C3" s="18">
        <f>D3/16</f>
        <v>33.290500000000002</v>
      </c>
      <c r="D3" s="18">
        <f>ratio3!I20</f>
        <v>532.64800000000002</v>
      </c>
      <c r="E3" s="18">
        <f>ratio3!J20/16</f>
        <v>3.5805125000000002</v>
      </c>
      <c r="F3" s="7">
        <f>'passengers info'!J$7</f>
        <v>1.5196875000000001</v>
      </c>
      <c r="G3" s="18">
        <f>ratio3!L20</f>
        <v>4.0280765624999999</v>
      </c>
      <c r="H3" s="23">
        <f>G3/F3</f>
        <v>2.6505953115360885</v>
      </c>
      <c r="I3" s="19">
        <f>ratio3!N20</f>
        <v>1412.0880000000002</v>
      </c>
    </row>
    <row r="4" spans="1:9" ht="15" thickBot="1" x14ac:dyDescent="0.4">
      <c r="A4" s="22" t="s">
        <v>42</v>
      </c>
      <c r="B4" s="20">
        <f>ratio3.5!G20</f>
        <v>48</v>
      </c>
      <c r="C4" s="18">
        <f>D4/16</f>
        <v>31.430125</v>
      </c>
      <c r="D4" s="18">
        <f>ratio3.5!I20</f>
        <v>502.88200000000001</v>
      </c>
      <c r="E4" s="18">
        <f>ratio3.5!J20/16</f>
        <v>3.53954375</v>
      </c>
      <c r="F4" s="7">
        <f>'passengers info'!J$7</f>
        <v>1.5196875000000001</v>
      </c>
      <c r="G4" s="18">
        <f>ratio3.5!L20</f>
        <v>3.98198671875</v>
      </c>
      <c r="H4" s="23">
        <f>G4/F4</f>
        <v>2.6202668106107341</v>
      </c>
      <c r="I4" s="19">
        <f>ratio3.5!N20</f>
        <v>1384.0949999999998</v>
      </c>
    </row>
    <row r="5" spans="1:9" ht="15" thickBot="1" x14ac:dyDescent="0.4">
      <c r="A5" s="22" t="s">
        <v>39</v>
      </c>
      <c r="B5" s="17">
        <f>ratio4!G20</f>
        <v>48</v>
      </c>
      <c r="C5" s="18">
        <f>D5/16</f>
        <v>30.639474999999997</v>
      </c>
      <c r="D5" s="18">
        <f>ratio4!I20</f>
        <v>490.23159999999996</v>
      </c>
      <c r="E5" s="18">
        <f>ratio4!J20/16</f>
        <v>3.5787187500000002</v>
      </c>
      <c r="F5" s="7">
        <f>'passengers info'!J$7</f>
        <v>1.5196875000000001</v>
      </c>
      <c r="G5" s="18">
        <f>ratio4!L20</f>
        <v>4.0260585937500002</v>
      </c>
      <c r="H5" s="23">
        <f>G5/F5</f>
        <v>2.6492674275138803</v>
      </c>
      <c r="I5" s="19">
        <f>ratio4!N20</f>
        <v>1390.3058000000001</v>
      </c>
    </row>
    <row r="7" spans="1:9" ht="15" thickBot="1" x14ac:dyDescent="0.4"/>
    <row r="8" spans="1:9" ht="32" thickBot="1" x14ac:dyDescent="0.4">
      <c r="A8" s="27" t="s">
        <v>32</v>
      </c>
      <c r="B8" s="26" t="s">
        <v>55</v>
      </c>
      <c r="C8" s="26" t="s">
        <v>54</v>
      </c>
      <c r="D8" s="28" t="s">
        <v>56</v>
      </c>
      <c r="E8" s="28" t="s">
        <v>57</v>
      </c>
      <c r="F8" s="28" t="s">
        <v>58</v>
      </c>
    </row>
    <row r="9" spans="1:9" ht="15" thickBot="1" x14ac:dyDescent="0.4">
      <c r="A9" s="13" t="s">
        <v>38</v>
      </c>
      <c r="B9" s="24">
        <f>ratio3!J20</f>
        <v>57.288200000000003</v>
      </c>
      <c r="C9" s="24">
        <f>ratio3!I20</f>
        <v>532.64800000000002</v>
      </c>
      <c r="D9" s="25">
        <f>20*B9</f>
        <v>1145.7640000000001</v>
      </c>
      <c r="E9" s="30">
        <f>0.3*C9</f>
        <v>159.7944</v>
      </c>
      <c r="F9" s="25">
        <f>D9+E9</f>
        <v>1305.5584000000001</v>
      </c>
    </row>
    <row r="10" spans="1:9" ht="15" thickBot="1" x14ac:dyDescent="0.4">
      <c r="A10" s="22" t="s">
        <v>42</v>
      </c>
      <c r="B10" s="24">
        <f>ratio3.5!J20</f>
        <v>56.6327</v>
      </c>
      <c r="C10" s="24">
        <f>ratio3.5!I20</f>
        <v>502.88200000000001</v>
      </c>
      <c r="D10" s="25">
        <f>20*B10</f>
        <v>1132.654</v>
      </c>
      <c r="E10" s="30">
        <f>0.3*C10</f>
        <v>150.8646</v>
      </c>
      <c r="F10" s="25">
        <f>D10+E10</f>
        <v>1283.5185999999999</v>
      </c>
    </row>
    <row r="11" spans="1:9" ht="15" thickBot="1" x14ac:dyDescent="0.4">
      <c r="A11" s="22" t="s">
        <v>39</v>
      </c>
      <c r="B11" s="24">
        <f>ratio4!J20</f>
        <v>57.259500000000003</v>
      </c>
      <c r="C11" s="24">
        <f>ratio4!I20</f>
        <v>490.23159999999996</v>
      </c>
      <c r="D11" s="25">
        <f>20*B11</f>
        <v>1145.19</v>
      </c>
      <c r="E11" s="30">
        <f>0.3*C11</f>
        <v>147.06947999999997</v>
      </c>
      <c r="F11" s="25">
        <f>D11+E11</f>
        <v>1292.2594799999999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topLeftCell="A4" zoomScale="90" zoomScaleNormal="90" workbookViewId="0">
      <selection activeCell="P20" sqref="P20"/>
    </sheetView>
  </sheetViews>
  <sheetFormatPr defaultRowHeight="14.5" x14ac:dyDescent="0.35"/>
  <sheetData>
    <row r="1" spans="1:16" ht="15" thickBot="1" x14ac:dyDescent="0.4">
      <c r="A1" t="s">
        <v>53</v>
      </c>
    </row>
    <row r="2" spans="1:16" ht="21" x14ac:dyDescent="0.35">
      <c r="A2" s="42" t="s">
        <v>0</v>
      </c>
      <c r="B2" s="42" t="s">
        <v>1</v>
      </c>
      <c r="C2" s="42" t="s">
        <v>13</v>
      </c>
      <c r="D2" s="42" t="s">
        <v>2</v>
      </c>
      <c r="E2" s="42" t="s">
        <v>3</v>
      </c>
      <c r="F2" s="42" t="s">
        <v>4</v>
      </c>
      <c r="G2" s="42" t="s">
        <v>5</v>
      </c>
      <c r="H2" s="15" t="s">
        <v>14</v>
      </c>
      <c r="I2" s="42" t="s">
        <v>16</v>
      </c>
      <c r="J2" s="42" t="s">
        <v>50</v>
      </c>
      <c r="K2" s="42" t="s">
        <v>11</v>
      </c>
      <c r="L2" s="42" t="s">
        <v>12</v>
      </c>
      <c r="M2" s="44" t="s">
        <v>40</v>
      </c>
      <c r="N2" s="44" t="s">
        <v>41</v>
      </c>
    </row>
    <row r="3" spans="1:16" ht="15" thickBot="1" x14ac:dyDescent="0.4">
      <c r="A3" s="43"/>
      <c r="B3" s="43"/>
      <c r="C3" s="43"/>
      <c r="D3" s="43"/>
      <c r="E3" s="43"/>
      <c r="F3" s="43"/>
      <c r="G3" s="43"/>
      <c r="H3" s="16" t="s">
        <v>15</v>
      </c>
      <c r="I3" s="43"/>
      <c r="J3" s="43"/>
      <c r="K3" s="43"/>
      <c r="L3" s="43"/>
      <c r="M3" s="45"/>
      <c r="N3" s="45"/>
    </row>
    <row r="4" spans="1:16" ht="15" thickBot="1" x14ac:dyDescent="0.4">
      <c r="A4" s="3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3</v>
      </c>
      <c r="G4" s="2">
        <v>3</v>
      </c>
      <c r="H4" s="2">
        <v>0</v>
      </c>
      <c r="I4" s="29">
        <v>32.679000000000002</v>
      </c>
      <c r="J4" s="8">
        <v>3.5276000000000001</v>
      </c>
      <c r="K4" s="21">
        <f>J4*45/E4</f>
        <v>3.9685499999999996</v>
      </c>
      <c r="L4" s="33">
        <f>(E4*K4+E5*K5+E6*K6+E7*K7)/160</f>
        <v>3.8816999999999999</v>
      </c>
      <c r="M4" s="21">
        <f>0.5*I4+20*J4</f>
        <v>86.891500000000008</v>
      </c>
      <c r="N4" s="36">
        <f>SUM(M4:M7)</f>
        <v>341.90200000000004</v>
      </c>
      <c r="O4">
        <f>(J4*20)/E4</f>
        <v>1.7638000000000003</v>
      </c>
      <c r="P4">
        <f>J4/E4</f>
        <v>8.8190000000000004E-2</v>
      </c>
    </row>
    <row r="5" spans="1:16" ht="15" thickBot="1" x14ac:dyDescent="0.4">
      <c r="A5" s="4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3</v>
      </c>
      <c r="G5" s="2">
        <v>3</v>
      </c>
      <c r="H5" s="2">
        <v>0</v>
      </c>
      <c r="I5" s="29">
        <v>31.585999999999999</v>
      </c>
      <c r="J5" s="8">
        <v>3.4660000000000002</v>
      </c>
      <c r="K5" s="21">
        <f t="shared" ref="K5:K19" si="1">J5*45/E5</f>
        <v>3.8992499999999999</v>
      </c>
      <c r="L5" s="34"/>
      <c r="M5" s="32">
        <f t="shared" ref="M5:M19" si="2">0.5*I5+20*J5</f>
        <v>85.113</v>
      </c>
      <c r="N5" s="37"/>
      <c r="O5">
        <f t="shared" ref="O5:O19" si="3">(J5*20)/E5</f>
        <v>1.7330000000000001</v>
      </c>
      <c r="P5">
        <f t="shared" ref="P5:P19" si="4">J5/E5</f>
        <v>8.6650000000000005E-2</v>
      </c>
    </row>
    <row r="6" spans="1:16" ht="15" thickBot="1" x14ac:dyDescent="0.4">
      <c r="A6" s="4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3</v>
      </c>
      <c r="G6" s="2">
        <v>3</v>
      </c>
      <c r="H6" s="2">
        <v>0</v>
      </c>
      <c r="I6" s="21">
        <v>34.384999999999998</v>
      </c>
      <c r="J6" s="8">
        <v>3.4718</v>
      </c>
      <c r="K6" s="21">
        <f t="shared" si="1"/>
        <v>3.9057749999999998</v>
      </c>
      <c r="L6" s="34"/>
      <c r="M6" s="32">
        <f t="shared" si="2"/>
        <v>86.628500000000003</v>
      </c>
      <c r="N6" s="37"/>
      <c r="O6">
        <f t="shared" si="3"/>
        <v>1.7359000000000002</v>
      </c>
      <c r="P6">
        <f t="shared" si="4"/>
        <v>8.6794999999999997E-2</v>
      </c>
    </row>
    <row r="7" spans="1:16" ht="15" thickBot="1" x14ac:dyDescent="0.4">
      <c r="A7" s="4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3</v>
      </c>
      <c r="G7" s="2">
        <v>3</v>
      </c>
      <c r="H7" s="2">
        <v>0</v>
      </c>
      <c r="I7" s="31">
        <v>33.090000000000003</v>
      </c>
      <c r="J7" s="8">
        <v>3.3361999999999998</v>
      </c>
      <c r="K7" s="21">
        <f t="shared" si="1"/>
        <v>3.7532249999999996</v>
      </c>
      <c r="L7" s="35"/>
      <c r="M7" s="32">
        <f t="shared" si="2"/>
        <v>83.268999999999991</v>
      </c>
      <c r="N7" s="38"/>
      <c r="O7">
        <f t="shared" si="3"/>
        <v>1.6680999999999997</v>
      </c>
      <c r="P7">
        <f t="shared" si="4"/>
        <v>8.3404999999999993E-2</v>
      </c>
    </row>
    <row r="8" spans="1:16" ht="15" thickBot="1" x14ac:dyDescent="0.4">
      <c r="A8" s="39" t="s">
        <v>7</v>
      </c>
      <c r="B8" s="2" t="s">
        <v>6</v>
      </c>
      <c r="C8" s="2">
        <f t="shared" si="0"/>
        <v>16</v>
      </c>
      <c r="D8" s="2">
        <v>14</v>
      </c>
      <c r="E8" s="2">
        <v>30</v>
      </c>
      <c r="F8" s="9">
        <v>3</v>
      </c>
      <c r="G8" s="2">
        <v>3</v>
      </c>
      <c r="H8" s="2">
        <v>0</v>
      </c>
      <c r="I8" s="29">
        <v>25.44</v>
      </c>
      <c r="J8" s="8">
        <v>2.0244</v>
      </c>
      <c r="K8" s="21">
        <f t="shared" si="1"/>
        <v>3.0366</v>
      </c>
      <c r="L8" s="33">
        <f>(E8*K8+E9*K9+E10*K10+E11*K11)/160</f>
        <v>3.9798562500000001</v>
      </c>
      <c r="M8" s="32">
        <f t="shared" si="2"/>
        <v>53.207999999999998</v>
      </c>
      <c r="N8" s="36">
        <f>SUM(M8:M11)</f>
        <v>348.37599999999998</v>
      </c>
      <c r="O8">
        <f t="shared" si="3"/>
        <v>1.3495999999999999</v>
      </c>
      <c r="P8">
        <f t="shared" si="4"/>
        <v>6.7479999999999998E-2</v>
      </c>
    </row>
    <row r="9" spans="1:16" ht="15" thickBot="1" x14ac:dyDescent="0.4">
      <c r="A9" s="40"/>
      <c r="B9" s="2" t="s">
        <v>7</v>
      </c>
      <c r="C9" s="2">
        <f t="shared" si="0"/>
        <v>25</v>
      </c>
      <c r="D9" s="2">
        <v>25</v>
      </c>
      <c r="E9" s="2">
        <v>50</v>
      </c>
      <c r="F9" s="9">
        <v>3</v>
      </c>
      <c r="G9" s="2">
        <v>3</v>
      </c>
      <c r="H9" s="2">
        <v>0</v>
      </c>
      <c r="I9" s="21">
        <v>38.725999999999999</v>
      </c>
      <c r="J9" s="8">
        <v>4.5007999999999999</v>
      </c>
      <c r="K9" s="21">
        <f t="shared" si="1"/>
        <v>4.0507200000000001</v>
      </c>
      <c r="L9" s="34"/>
      <c r="M9" s="32">
        <f t="shared" si="2"/>
        <v>109.37899999999999</v>
      </c>
      <c r="N9" s="37"/>
      <c r="O9">
        <f t="shared" si="3"/>
        <v>1.8003199999999999</v>
      </c>
      <c r="P9">
        <f t="shared" si="4"/>
        <v>9.0015999999999999E-2</v>
      </c>
    </row>
    <row r="10" spans="1:16" ht="15" thickBot="1" x14ac:dyDescent="0.4">
      <c r="A10" s="40"/>
      <c r="B10" s="2" t="s">
        <v>8</v>
      </c>
      <c r="C10" s="2">
        <f t="shared" si="0"/>
        <v>12</v>
      </c>
      <c r="D10" s="2">
        <v>8</v>
      </c>
      <c r="E10" s="2">
        <v>20</v>
      </c>
      <c r="F10" s="9">
        <v>3</v>
      </c>
      <c r="G10" s="2">
        <v>2</v>
      </c>
      <c r="H10" s="2">
        <v>-1</v>
      </c>
      <c r="I10" s="31">
        <v>20.297000000000001</v>
      </c>
      <c r="J10" s="8">
        <v>2.0707</v>
      </c>
      <c r="K10" s="21">
        <f t="shared" si="1"/>
        <v>4.6590749999999996</v>
      </c>
      <c r="L10" s="34"/>
      <c r="M10" s="32">
        <f t="shared" si="2"/>
        <v>51.5625</v>
      </c>
      <c r="N10" s="37"/>
      <c r="O10">
        <f t="shared" si="3"/>
        <v>2.0707</v>
      </c>
      <c r="P10">
        <f t="shared" si="4"/>
        <v>0.103535</v>
      </c>
    </row>
    <row r="11" spans="1:16" ht="15" thickBot="1" x14ac:dyDescent="0.4">
      <c r="A11" s="41"/>
      <c r="B11" s="2" t="s">
        <v>9</v>
      </c>
      <c r="C11" s="2">
        <f t="shared" si="0"/>
        <v>29</v>
      </c>
      <c r="D11" s="2">
        <v>31</v>
      </c>
      <c r="E11" s="2">
        <v>60</v>
      </c>
      <c r="F11" s="9">
        <v>3</v>
      </c>
      <c r="G11" s="2">
        <v>4</v>
      </c>
      <c r="H11" s="2">
        <v>1</v>
      </c>
      <c r="I11" s="29">
        <v>46.265000000000001</v>
      </c>
      <c r="J11" s="8">
        <v>5.5547000000000004</v>
      </c>
      <c r="K11" s="21">
        <f t="shared" si="1"/>
        <v>4.1660250000000003</v>
      </c>
      <c r="L11" s="35"/>
      <c r="M11" s="32">
        <f t="shared" si="2"/>
        <v>134.22650000000002</v>
      </c>
      <c r="N11" s="38"/>
      <c r="O11">
        <f t="shared" si="3"/>
        <v>1.8515666666666668</v>
      </c>
      <c r="P11">
        <f t="shared" si="4"/>
        <v>9.2578333333333346E-2</v>
      </c>
    </row>
    <row r="12" spans="1:16" ht="15" thickBot="1" x14ac:dyDescent="0.4">
      <c r="A12" s="39" t="s">
        <v>8</v>
      </c>
      <c r="B12" s="2" t="s">
        <v>6</v>
      </c>
      <c r="C12" s="2">
        <f t="shared" si="0"/>
        <v>5</v>
      </c>
      <c r="D12" s="2">
        <v>5</v>
      </c>
      <c r="E12" s="2">
        <v>10</v>
      </c>
      <c r="F12" s="9">
        <v>3</v>
      </c>
      <c r="G12" s="2">
        <v>2</v>
      </c>
      <c r="H12" s="2">
        <v>-1</v>
      </c>
      <c r="I12" s="29">
        <v>16.271999999999998</v>
      </c>
      <c r="J12" s="8">
        <v>0.70389999999999997</v>
      </c>
      <c r="K12" s="21">
        <f t="shared" si="1"/>
        <v>3.1675499999999999</v>
      </c>
      <c r="L12" s="33">
        <f>(E12*K12+E13*K13+E14*K14+E15*K15)/160</f>
        <v>4.1417999999999999</v>
      </c>
      <c r="M12" s="32">
        <f t="shared" si="2"/>
        <v>22.213999999999999</v>
      </c>
      <c r="N12" s="36">
        <f>SUM(M12:M15)</f>
        <v>359.7115</v>
      </c>
      <c r="O12">
        <f t="shared" si="3"/>
        <v>1.4077999999999999</v>
      </c>
      <c r="P12">
        <f t="shared" si="4"/>
        <v>7.0389999999999994E-2</v>
      </c>
    </row>
    <row r="13" spans="1:16" ht="15" thickBot="1" x14ac:dyDescent="0.4">
      <c r="A13" s="40"/>
      <c r="B13" s="2" t="s">
        <v>7</v>
      </c>
      <c r="C13" s="2">
        <f t="shared" si="0"/>
        <v>37</v>
      </c>
      <c r="D13" s="2">
        <v>33</v>
      </c>
      <c r="E13" s="2">
        <v>70</v>
      </c>
      <c r="F13" s="9">
        <v>3</v>
      </c>
      <c r="G13" s="2">
        <v>4</v>
      </c>
      <c r="H13" s="2">
        <v>1</v>
      </c>
      <c r="I13" s="29">
        <v>49.777999999999999</v>
      </c>
      <c r="J13" s="8">
        <v>6.4607000000000001</v>
      </c>
      <c r="K13" s="21">
        <f t="shared" si="1"/>
        <v>4.1533071428571429</v>
      </c>
      <c r="L13" s="34"/>
      <c r="M13" s="32">
        <f t="shared" si="2"/>
        <v>154.10300000000001</v>
      </c>
      <c r="N13" s="37"/>
      <c r="O13">
        <f t="shared" si="3"/>
        <v>1.8459142857142856</v>
      </c>
      <c r="P13">
        <f t="shared" si="4"/>
        <v>9.2295714285714286E-2</v>
      </c>
    </row>
    <row r="14" spans="1:16" ht="15" thickBot="1" x14ac:dyDescent="0.4">
      <c r="A14" s="40"/>
      <c r="B14" s="2" t="s">
        <v>8</v>
      </c>
      <c r="C14" s="2">
        <f t="shared" si="0"/>
        <v>29</v>
      </c>
      <c r="D14" s="2">
        <v>31</v>
      </c>
      <c r="E14" s="2">
        <v>60</v>
      </c>
      <c r="F14" s="9">
        <v>2</v>
      </c>
      <c r="G14" s="2">
        <v>4</v>
      </c>
      <c r="H14" s="2">
        <v>2</v>
      </c>
      <c r="I14" s="29">
        <v>42.658000000000001</v>
      </c>
      <c r="J14" s="8">
        <v>5.5507999999999997</v>
      </c>
      <c r="K14" s="21">
        <f t="shared" si="1"/>
        <v>4.1631</v>
      </c>
      <c r="L14" s="34"/>
      <c r="M14" s="32">
        <f t="shared" si="2"/>
        <v>132.345</v>
      </c>
      <c r="N14" s="37"/>
      <c r="O14">
        <f t="shared" si="3"/>
        <v>1.8502666666666665</v>
      </c>
      <c r="P14">
        <f t="shared" si="4"/>
        <v>9.2513333333333322E-2</v>
      </c>
    </row>
    <row r="15" spans="1:16" ht="15" thickBot="1" x14ac:dyDescent="0.4">
      <c r="A15" s="41"/>
      <c r="B15" s="2" t="s">
        <v>9</v>
      </c>
      <c r="C15" s="2">
        <f t="shared" si="0"/>
        <v>5</v>
      </c>
      <c r="D15" s="2">
        <v>15</v>
      </c>
      <c r="E15" s="2">
        <v>20</v>
      </c>
      <c r="F15" s="9">
        <v>4</v>
      </c>
      <c r="G15" s="2">
        <v>2</v>
      </c>
      <c r="H15" s="2">
        <v>-2</v>
      </c>
      <c r="I15" s="29">
        <v>21.658999999999999</v>
      </c>
      <c r="J15" s="8">
        <v>2.0110000000000001</v>
      </c>
      <c r="K15" s="21">
        <f t="shared" si="1"/>
        <v>4.52475</v>
      </c>
      <c r="L15" s="35"/>
      <c r="M15" s="32">
        <f t="shared" si="2"/>
        <v>51.049499999999995</v>
      </c>
      <c r="N15" s="38"/>
      <c r="O15">
        <f t="shared" si="3"/>
        <v>2.0110000000000001</v>
      </c>
      <c r="P15">
        <f t="shared" si="4"/>
        <v>0.10055</v>
      </c>
    </row>
    <row r="16" spans="1:16" ht="15" thickBot="1" x14ac:dyDescent="0.4">
      <c r="A16" s="3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2</v>
      </c>
      <c r="G16" s="2">
        <v>3</v>
      </c>
      <c r="H16" s="2">
        <v>1</v>
      </c>
      <c r="I16" s="29">
        <v>32.531999999999996</v>
      </c>
      <c r="J16" s="8">
        <v>3.7471000000000001</v>
      </c>
      <c r="K16" s="21">
        <f t="shared" si="1"/>
        <v>4.2154875000000001</v>
      </c>
      <c r="L16" s="33">
        <f>(E16*K16+E17*K17+E18*K18+E19*K19)/160</f>
        <v>4.1089500000000001</v>
      </c>
      <c r="M16" s="32">
        <f t="shared" si="2"/>
        <v>91.207999999999998</v>
      </c>
      <c r="N16" s="48">
        <f>SUM(M16:M19)</f>
        <v>362.09849999999994</v>
      </c>
      <c r="O16">
        <f t="shared" si="3"/>
        <v>1.8735500000000003</v>
      </c>
      <c r="P16">
        <f t="shared" si="4"/>
        <v>9.3677499999999997E-2</v>
      </c>
    </row>
    <row r="17" spans="1:16" ht="15" thickBot="1" x14ac:dyDescent="0.4">
      <c r="A17" s="4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3</v>
      </c>
      <c r="H17" s="2">
        <v>-1</v>
      </c>
      <c r="I17" s="29">
        <v>40.549999999999997</v>
      </c>
      <c r="J17" s="8">
        <v>4.0613999999999999</v>
      </c>
      <c r="K17" s="21">
        <f t="shared" si="1"/>
        <v>4.5690749999999998</v>
      </c>
      <c r="L17" s="34"/>
      <c r="M17" s="32">
        <f t="shared" si="2"/>
        <v>101.50299999999999</v>
      </c>
      <c r="N17" s="49"/>
      <c r="O17">
        <f t="shared" si="3"/>
        <v>2.0306999999999999</v>
      </c>
      <c r="P17">
        <f t="shared" si="4"/>
        <v>0.101535</v>
      </c>
    </row>
    <row r="18" spans="1:16" ht="15" thickBot="1" x14ac:dyDescent="0.4">
      <c r="A18" s="4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4</v>
      </c>
      <c r="G18" s="2">
        <v>3</v>
      </c>
      <c r="H18" s="2">
        <v>-1</v>
      </c>
      <c r="I18" s="29">
        <v>37.091000000000001</v>
      </c>
      <c r="J18" s="8">
        <v>3.8412999999999999</v>
      </c>
      <c r="K18" s="21">
        <f t="shared" si="1"/>
        <v>4.3214625</v>
      </c>
      <c r="L18" s="34"/>
      <c r="M18" s="32">
        <f t="shared" si="2"/>
        <v>95.371499999999997</v>
      </c>
      <c r="N18" s="49"/>
      <c r="O18">
        <f t="shared" si="3"/>
        <v>1.9206499999999997</v>
      </c>
      <c r="P18">
        <f t="shared" si="4"/>
        <v>9.6032499999999993E-2</v>
      </c>
    </row>
    <row r="19" spans="1:16" ht="15" thickBot="1" x14ac:dyDescent="0.4">
      <c r="A19" s="4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2</v>
      </c>
      <c r="G19" s="2">
        <v>3</v>
      </c>
      <c r="H19" s="2">
        <v>1</v>
      </c>
      <c r="I19" s="21">
        <v>29.64</v>
      </c>
      <c r="J19" s="8">
        <v>2.9598</v>
      </c>
      <c r="K19" s="21">
        <f t="shared" si="1"/>
        <v>3.3297750000000002</v>
      </c>
      <c r="L19" s="35"/>
      <c r="M19" s="32">
        <f t="shared" si="2"/>
        <v>74.015999999999991</v>
      </c>
      <c r="N19" s="50"/>
      <c r="O19">
        <f t="shared" si="3"/>
        <v>1.4799</v>
      </c>
      <c r="P19">
        <f t="shared" si="4"/>
        <v>7.3995000000000005E-2</v>
      </c>
    </row>
    <row r="20" spans="1:16" ht="15" thickBot="1" x14ac:dyDescent="0.4">
      <c r="A20" s="46" t="s">
        <v>10</v>
      </c>
      <c r="B20" s="47"/>
      <c r="C20" s="14">
        <f t="shared" ref="C20:J20" si="5">SUM(C4:C19)</f>
        <v>307</v>
      </c>
      <c r="D20" s="14">
        <f t="shared" si="5"/>
        <v>333</v>
      </c>
      <c r="E20" s="14">
        <f t="shared" si="5"/>
        <v>640</v>
      </c>
      <c r="F20" s="14">
        <f t="shared" si="5"/>
        <v>48</v>
      </c>
      <c r="G20" s="14">
        <f t="shared" si="5"/>
        <v>48</v>
      </c>
      <c r="H20" s="14">
        <f t="shared" si="5"/>
        <v>0</v>
      </c>
      <c r="I20" s="21">
        <f t="shared" si="5"/>
        <v>532.64800000000002</v>
      </c>
      <c r="J20" s="21">
        <f t="shared" si="5"/>
        <v>57.288200000000003</v>
      </c>
      <c r="K20" s="14"/>
      <c r="L20" s="21">
        <f>AVERAGE(L4:L19)</f>
        <v>4.0280765624999999</v>
      </c>
      <c r="M20" s="21">
        <f>SUM(M5:M19)</f>
        <v>1325.1965</v>
      </c>
      <c r="N20" s="21">
        <f>SUM(N4:N19)</f>
        <v>1412.0880000000002</v>
      </c>
      <c r="O20">
        <f>AVERAGE(O4:O19)</f>
        <v>1.7745479761904761</v>
      </c>
      <c r="P20">
        <f>AVERAGE(P4:P19)</f>
        <v>8.8727398809523808E-2</v>
      </c>
    </row>
    <row r="21" spans="1:16" x14ac:dyDescent="0.35">
      <c r="N21">
        <f>N20/E20</f>
        <v>2.2063875000000004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10" workbookViewId="0">
      <selection activeCell="H4" sqref="H4:H19"/>
    </sheetView>
  </sheetViews>
  <sheetFormatPr defaultRowHeight="14.5" x14ac:dyDescent="0.35"/>
  <sheetData>
    <row r="1" spans="1:14" ht="15" thickBot="1" x14ac:dyDescent="0.4">
      <c r="A1" t="s">
        <v>53</v>
      </c>
    </row>
    <row r="2" spans="1:14" ht="21" x14ac:dyDescent="0.35">
      <c r="A2" s="42" t="s">
        <v>0</v>
      </c>
      <c r="B2" s="42" t="s">
        <v>1</v>
      </c>
      <c r="C2" s="42" t="s">
        <v>13</v>
      </c>
      <c r="D2" s="42" t="s">
        <v>2</v>
      </c>
      <c r="E2" s="42" t="s">
        <v>3</v>
      </c>
      <c r="F2" s="42" t="s">
        <v>4</v>
      </c>
      <c r="G2" s="42" t="s">
        <v>5</v>
      </c>
      <c r="H2" s="15" t="s">
        <v>14</v>
      </c>
      <c r="I2" s="42" t="s">
        <v>16</v>
      </c>
      <c r="J2" s="42" t="s">
        <v>50</v>
      </c>
      <c r="K2" s="42" t="s">
        <v>11</v>
      </c>
      <c r="L2" s="42" t="s">
        <v>12</v>
      </c>
      <c r="M2" s="44" t="s">
        <v>40</v>
      </c>
      <c r="N2" s="44" t="s">
        <v>41</v>
      </c>
    </row>
    <row r="3" spans="1:14" ht="15" thickBot="1" x14ac:dyDescent="0.4">
      <c r="A3" s="43"/>
      <c r="B3" s="43"/>
      <c r="C3" s="43"/>
      <c r="D3" s="43"/>
      <c r="E3" s="43"/>
      <c r="F3" s="43"/>
      <c r="G3" s="43"/>
      <c r="H3" s="16" t="s">
        <v>15</v>
      </c>
      <c r="I3" s="43"/>
      <c r="J3" s="43"/>
      <c r="K3" s="43"/>
      <c r="L3" s="43"/>
      <c r="M3" s="45"/>
      <c r="N3" s="45"/>
    </row>
    <row r="4" spans="1:14" ht="15" thickBot="1" x14ac:dyDescent="0.4">
      <c r="A4" s="3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3</v>
      </c>
      <c r="G4" s="2">
        <v>3</v>
      </c>
      <c r="H4" s="2">
        <v>0</v>
      </c>
      <c r="I4" s="29">
        <v>32.677999999999997</v>
      </c>
      <c r="J4" s="8">
        <v>3.5276000000000001</v>
      </c>
      <c r="K4" s="21">
        <f>J4*45/E4</f>
        <v>3.9685499999999996</v>
      </c>
      <c r="L4" s="33">
        <f>(E4*K4+E5*K5+E6*K6+E7*K7)/160</f>
        <v>3.80705625</v>
      </c>
      <c r="M4" s="21">
        <f>0.5*I4+20*J4</f>
        <v>86.891000000000005</v>
      </c>
      <c r="N4" s="36">
        <f>SUM(M4:M7)</f>
        <v>334.06850000000003</v>
      </c>
    </row>
    <row r="5" spans="1:14" ht="15" thickBot="1" x14ac:dyDescent="0.4">
      <c r="A5" s="4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3</v>
      </c>
      <c r="G5" s="2">
        <v>3</v>
      </c>
      <c r="H5" s="2">
        <v>0</v>
      </c>
      <c r="I5" s="31">
        <v>30.417000000000002</v>
      </c>
      <c r="J5" s="8">
        <v>3.3694999999999999</v>
      </c>
      <c r="K5" s="21">
        <f t="shared" ref="K5:K19" si="1">J5*45/E5</f>
        <v>3.7906874999999998</v>
      </c>
      <c r="L5" s="34"/>
      <c r="M5" s="32">
        <f t="shared" ref="M5:M19" si="2">0.5*I5+20*J5</f>
        <v>82.598500000000001</v>
      </c>
      <c r="N5" s="37"/>
    </row>
    <row r="6" spans="1:14" ht="15" thickBot="1" x14ac:dyDescent="0.4">
      <c r="A6" s="4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3</v>
      </c>
      <c r="G6" s="2">
        <v>3</v>
      </c>
      <c r="H6" s="2">
        <v>0</v>
      </c>
      <c r="I6" s="29">
        <v>30.504000000000001</v>
      </c>
      <c r="J6" s="8">
        <v>3.3029000000000002</v>
      </c>
      <c r="K6" s="21">
        <f t="shared" si="1"/>
        <v>3.7157625000000003</v>
      </c>
      <c r="L6" s="34"/>
      <c r="M6" s="32">
        <f t="shared" si="2"/>
        <v>81.31</v>
      </c>
      <c r="N6" s="37"/>
    </row>
    <row r="7" spans="1:14" ht="15" thickBot="1" x14ac:dyDescent="0.4">
      <c r="A7" s="4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3</v>
      </c>
      <c r="G7" s="2">
        <v>3</v>
      </c>
      <c r="H7" s="2">
        <v>0</v>
      </c>
      <c r="I7" s="31">
        <v>33.090000000000003</v>
      </c>
      <c r="J7" s="8">
        <v>3.3361999999999998</v>
      </c>
      <c r="K7" s="21">
        <f t="shared" si="1"/>
        <v>3.7532249999999996</v>
      </c>
      <c r="L7" s="35"/>
      <c r="M7" s="32">
        <f t="shared" si="2"/>
        <v>83.268999999999991</v>
      </c>
      <c r="N7" s="38"/>
    </row>
    <row r="8" spans="1:14" ht="15" thickBot="1" x14ac:dyDescent="0.4">
      <c r="A8" s="39" t="s">
        <v>7</v>
      </c>
      <c r="B8" s="2" t="s">
        <v>6</v>
      </c>
      <c r="C8" s="2">
        <f t="shared" si="0"/>
        <v>16</v>
      </c>
      <c r="D8" s="2">
        <v>14</v>
      </c>
      <c r="E8" s="2">
        <v>30</v>
      </c>
      <c r="F8" s="9">
        <v>3</v>
      </c>
      <c r="G8" s="2">
        <v>3</v>
      </c>
      <c r="H8" s="2">
        <v>0</v>
      </c>
      <c r="I8" s="29">
        <v>22.49</v>
      </c>
      <c r="J8" s="8">
        <v>2.0392999999999999</v>
      </c>
      <c r="K8" s="21">
        <f t="shared" si="1"/>
        <v>3.0589499999999998</v>
      </c>
      <c r="L8" s="33">
        <f>(E8*K8+E9*K9+E10*K10+E11*K11)/160</f>
        <v>3.9641062500000004</v>
      </c>
      <c r="M8" s="32">
        <f t="shared" si="2"/>
        <v>52.030999999999999</v>
      </c>
      <c r="N8" s="36">
        <f>SUM(M8:M11)</f>
        <v>342.79949999999997</v>
      </c>
    </row>
    <row r="9" spans="1:14" ht="15" thickBot="1" x14ac:dyDescent="0.4">
      <c r="A9" s="40"/>
      <c r="B9" s="2" t="s">
        <v>7</v>
      </c>
      <c r="C9" s="2">
        <f t="shared" si="0"/>
        <v>25</v>
      </c>
      <c r="D9" s="2">
        <v>25</v>
      </c>
      <c r="E9" s="2">
        <v>50</v>
      </c>
      <c r="F9" s="9">
        <v>3</v>
      </c>
      <c r="G9" s="2">
        <v>3</v>
      </c>
      <c r="H9" s="2">
        <v>0</v>
      </c>
      <c r="I9" s="29">
        <v>34.448999999999998</v>
      </c>
      <c r="J9" s="8">
        <v>4.4836</v>
      </c>
      <c r="K9" s="21">
        <f t="shared" si="1"/>
        <v>4.0352399999999999</v>
      </c>
      <c r="L9" s="34"/>
      <c r="M9" s="32">
        <f t="shared" si="2"/>
        <v>106.8965</v>
      </c>
      <c r="N9" s="37"/>
    </row>
    <row r="10" spans="1:14" ht="15" thickBot="1" x14ac:dyDescent="0.4">
      <c r="A10" s="40"/>
      <c r="B10" s="2" t="s">
        <v>8</v>
      </c>
      <c r="C10" s="2">
        <f t="shared" si="0"/>
        <v>12</v>
      </c>
      <c r="D10" s="2">
        <v>8</v>
      </c>
      <c r="E10" s="2">
        <v>20</v>
      </c>
      <c r="F10" s="9">
        <v>3</v>
      </c>
      <c r="G10" s="2">
        <v>2</v>
      </c>
      <c r="H10" s="2">
        <v>-1</v>
      </c>
      <c r="I10" s="21">
        <v>20.062999999999999</v>
      </c>
      <c r="J10" s="8">
        <v>2.0084</v>
      </c>
      <c r="K10" s="21">
        <f t="shared" si="1"/>
        <v>4.5189000000000004</v>
      </c>
      <c r="L10" s="34"/>
      <c r="M10" s="32">
        <f t="shared" si="2"/>
        <v>50.1995</v>
      </c>
      <c r="N10" s="37"/>
    </row>
    <row r="11" spans="1:14" ht="15" thickBot="1" x14ac:dyDescent="0.4">
      <c r="A11" s="41"/>
      <c r="B11" s="2" t="s">
        <v>9</v>
      </c>
      <c r="C11" s="2">
        <f t="shared" si="0"/>
        <v>29</v>
      </c>
      <c r="D11" s="2">
        <v>31</v>
      </c>
      <c r="E11" s="2">
        <v>60</v>
      </c>
      <c r="F11" s="9">
        <v>3</v>
      </c>
      <c r="G11" s="2">
        <v>4</v>
      </c>
      <c r="H11" s="2">
        <v>1</v>
      </c>
      <c r="I11" s="29">
        <v>44.813000000000002</v>
      </c>
      <c r="J11" s="8">
        <v>5.5632999999999999</v>
      </c>
      <c r="K11" s="21">
        <f t="shared" si="1"/>
        <v>4.1724750000000004</v>
      </c>
      <c r="L11" s="35"/>
      <c r="M11" s="32">
        <f t="shared" si="2"/>
        <v>133.67249999999999</v>
      </c>
      <c r="N11" s="38"/>
    </row>
    <row r="12" spans="1:14" ht="15" thickBot="1" x14ac:dyDescent="0.4">
      <c r="A12" s="39" t="s">
        <v>8</v>
      </c>
      <c r="B12" s="2" t="s">
        <v>6</v>
      </c>
      <c r="C12" s="2">
        <f t="shared" si="0"/>
        <v>5</v>
      </c>
      <c r="D12" s="2">
        <v>5</v>
      </c>
      <c r="E12" s="2">
        <v>10</v>
      </c>
      <c r="F12" s="9">
        <v>3</v>
      </c>
      <c r="G12" s="2">
        <v>2</v>
      </c>
      <c r="H12" s="2">
        <v>-1</v>
      </c>
      <c r="I12" s="29">
        <v>16.271999999999998</v>
      </c>
      <c r="J12" s="8">
        <v>0.70389999999999997</v>
      </c>
      <c r="K12" s="21">
        <f t="shared" si="1"/>
        <v>3.1675499999999999</v>
      </c>
      <c r="L12" s="33">
        <f>(E12*K12+E13*K13+E14*K14+E15*K15)/160</f>
        <v>4.1114812499999989</v>
      </c>
      <c r="M12" s="32">
        <f t="shared" si="2"/>
        <v>22.213999999999999</v>
      </c>
      <c r="N12" s="36">
        <f>SUM(M12:M15)</f>
        <v>356.899</v>
      </c>
    </row>
    <row r="13" spans="1:14" ht="15" thickBot="1" x14ac:dyDescent="0.4">
      <c r="A13" s="40"/>
      <c r="B13" s="2" t="s">
        <v>7</v>
      </c>
      <c r="C13" s="2">
        <f t="shared" si="0"/>
        <v>37</v>
      </c>
      <c r="D13" s="2">
        <v>33</v>
      </c>
      <c r="E13" s="2">
        <v>70</v>
      </c>
      <c r="F13" s="9">
        <v>3</v>
      </c>
      <c r="G13" s="2">
        <v>4</v>
      </c>
      <c r="H13" s="2">
        <v>1</v>
      </c>
      <c r="I13" s="29">
        <v>49.777999999999999</v>
      </c>
      <c r="J13" s="8">
        <v>6.4607000000000001</v>
      </c>
      <c r="K13" s="21">
        <f t="shared" si="1"/>
        <v>4.1533071428571429</v>
      </c>
      <c r="L13" s="34"/>
      <c r="M13" s="32">
        <f t="shared" si="2"/>
        <v>154.10300000000001</v>
      </c>
      <c r="N13" s="37"/>
    </row>
    <row r="14" spans="1:14" ht="15" thickBot="1" x14ac:dyDescent="0.4">
      <c r="A14" s="40"/>
      <c r="B14" s="2" t="s">
        <v>8</v>
      </c>
      <c r="C14" s="2">
        <f t="shared" si="0"/>
        <v>29</v>
      </c>
      <c r="D14" s="2">
        <v>31</v>
      </c>
      <c r="E14" s="2">
        <v>60</v>
      </c>
      <c r="F14" s="9">
        <v>2</v>
      </c>
      <c r="G14" s="2">
        <v>4</v>
      </c>
      <c r="H14" s="2">
        <v>2</v>
      </c>
      <c r="I14" s="21">
        <v>41.344999999999999</v>
      </c>
      <c r="J14" s="8">
        <v>5.4429999999999996</v>
      </c>
      <c r="K14" s="21">
        <f t="shared" si="1"/>
        <v>4.0822499999999993</v>
      </c>
      <c r="L14" s="34"/>
      <c r="M14" s="32">
        <f t="shared" si="2"/>
        <v>129.53249999999997</v>
      </c>
      <c r="N14" s="37"/>
    </row>
    <row r="15" spans="1:14" ht="15" thickBot="1" x14ac:dyDescent="0.4">
      <c r="A15" s="41"/>
      <c r="B15" s="2" t="s">
        <v>9</v>
      </c>
      <c r="C15" s="2">
        <f t="shared" si="0"/>
        <v>5</v>
      </c>
      <c r="D15" s="2">
        <v>15</v>
      </c>
      <c r="E15" s="2">
        <v>20</v>
      </c>
      <c r="F15" s="9">
        <v>4</v>
      </c>
      <c r="G15" s="2">
        <v>2</v>
      </c>
      <c r="H15" s="2">
        <v>-2</v>
      </c>
      <c r="I15" s="29">
        <v>21.658999999999999</v>
      </c>
      <c r="J15" s="8">
        <v>2.0110000000000001</v>
      </c>
      <c r="K15" s="21">
        <f t="shared" si="1"/>
        <v>4.52475</v>
      </c>
      <c r="L15" s="35"/>
      <c r="M15" s="32">
        <f t="shared" si="2"/>
        <v>51.049499999999995</v>
      </c>
      <c r="N15" s="38"/>
    </row>
    <row r="16" spans="1:14" ht="15" thickBot="1" x14ac:dyDescent="0.4">
      <c r="A16" s="3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2</v>
      </c>
      <c r="G16" s="2">
        <v>3</v>
      </c>
      <c r="H16" s="2">
        <v>1</v>
      </c>
      <c r="I16" s="29">
        <v>32.531999999999996</v>
      </c>
      <c r="J16" s="8">
        <v>3.7471000000000001</v>
      </c>
      <c r="K16" s="21">
        <f t="shared" si="1"/>
        <v>4.2154875000000001</v>
      </c>
      <c r="L16" s="33">
        <f>(E16*K16+E17*K17+E18*K18+E19*K19)/160</f>
        <v>4.0453031250000011</v>
      </c>
      <c r="M16" s="32">
        <f t="shared" si="2"/>
        <v>91.207999999999998</v>
      </c>
      <c r="N16" s="48">
        <f>SUM(M16:M19)</f>
        <v>350.32799999999997</v>
      </c>
    </row>
    <row r="17" spans="1:14" ht="15" thickBot="1" x14ac:dyDescent="0.4">
      <c r="A17" s="4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3</v>
      </c>
      <c r="H17" s="2">
        <v>-1</v>
      </c>
      <c r="I17" s="29">
        <v>31.28</v>
      </c>
      <c r="J17" s="8">
        <v>3.8835000000000002</v>
      </c>
      <c r="K17" s="21">
        <f t="shared" si="1"/>
        <v>4.3689375000000004</v>
      </c>
      <c r="L17" s="34"/>
      <c r="M17" s="32">
        <f t="shared" si="2"/>
        <v>93.31</v>
      </c>
      <c r="N17" s="49"/>
    </row>
    <row r="18" spans="1:14" ht="15" thickBot="1" x14ac:dyDescent="0.4">
      <c r="A18" s="4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4</v>
      </c>
      <c r="G18" s="2">
        <v>3</v>
      </c>
      <c r="H18" s="2">
        <v>-1</v>
      </c>
      <c r="I18" s="29">
        <v>31.872</v>
      </c>
      <c r="J18" s="8">
        <v>3.7928999999999999</v>
      </c>
      <c r="K18" s="21">
        <f t="shared" si="1"/>
        <v>4.2670124999999999</v>
      </c>
      <c r="L18" s="34"/>
      <c r="M18" s="32">
        <f t="shared" si="2"/>
        <v>91.794000000000011</v>
      </c>
      <c r="N18" s="49"/>
    </row>
    <row r="19" spans="1:14" ht="15" thickBot="1" x14ac:dyDescent="0.4">
      <c r="A19" s="4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2</v>
      </c>
      <c r="G19" s="2">
        <v>3</v>
      </c>
      <c r="H19" s="2">
        <v>1</v>
      </c>
      <c r="I19" s="29">
        <v>29.64</v>
      </c>
      <c r="J19" s="8">
        <v>2.9598</v>
      </c>
      <c r="K19" s="21">
        <f t="shared" si="1"/>
        <v>3.3297750000000002</v>
      </c>
      <c r="L19" s="35"/>
      <c r="M19" s="32">
        <f t="shared" si="2"/>
        <v>74.015999999999991</v>
      </c>
      <c r="N19" s="50"/>
    </row>
    <row r="20" spans="1:14" ht="15" thickBot="1" x14ac:dyDescent="0.4">
      <c r="A20" s="46" t="s">
        <v>10</v>
      </c>
      <c r="B20" s="47"/>
      <c r="C20" s="14">
        <f t="shared" ref="C20:J20" si="3">SUM(C4:C19)</f>
        <v>307</v>
      </c>
      <c r="D20" s="14">
        <f t="shared" si="3"/>
        <v>333</v>
      </c>
      <c r="E20" s="14">
        <f t="shared" si="3"/>
        <v>640</v>
      </c>
      <c r="F20" s="14">
        <f t="shared" si="3"/>
        <v>48</v>
      </c>
      <c r="G20" s="14">
        <f t="shared" si="3"/>
        <v>48</v>
      </c>
      <c r="H20" s="14">
        <f t="shared" si="3"/>
        <v>0</v>
      </c>
      <c r="I20" s="21">
        <f t="shared" si="3"/>
        <v>502.88200000000001</v>
      </c>
      <c r="J20" s="21">
        <f t="shared" si="3"/>
        <v>56.6327</v>
      </c>
      <c r="K20" s="14"/>
      <c r="L20" s="21">
        <f>AVERAGE(L4:L19)</f>
        <v>3.98198671875</v>
      </c>
      <c r="M20" s="21">
        <f>SUM(M5:M19)</f>
        <v>1297.2040000000002</v>
      </c>
      <c r="N20" s="21">
        <f>SUM(N4:N19)</f>
        <v>1384.0949999999998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03" workbookViewId="0">
      <selection activeCell="H14" sqref="H14"/>
    </sheetView>
  </sheetViews>
  <sheetFormatPr defaultRowHeight="14.5" x14ac:dyDescent="0.35"/>
  <cols>
    <col min="12" max="12" width="8.90625" bestFit="1" customWidth="1"/>
    <col min="13" max="14" width="9" bestFit="1" customWidth="1"/>
  </cols>
  <sheetData>
    <row r="1" spans="1:14" ht="15" thickBot="1" x14ac:dyDescent="0.4">
      <c r="A1" t="s">
        <v>53</v>
      </c>
    </row>
    <row r="2" spans="1:14" ht="21" x14ac:dyDescent="0.35">
      <c r="A2" s="42" t="s">
        <v>0</v>
      </c>
      <c r="B2" s="42" t="s">
        <v>1</v>
      </c>
      <c r="C2" s="42" t="s">
        <v>13</v>
      </c>
      <c r="D2" s="42" t="s">
        <v>2</v>
      </c>
      <c r="E2" s="42" t="s">
        <v>3</v>
      </c>
      <c r="F2" s="42" t="s">
        <v>4</v>
      </c>
      <c r="G2" s="42" t="s">
        <v>5</v>
      </c>
      <c r="H2" s="15" t="s">
        <v>14</v>
      </c>
      <c r="I2" s="42" t="s">
        <v>16</v>
      </c>
      <c r="J2" s="42" t="s">
        <v>50</v>
      </c>
      <c r="K2" s="42" t="s">
        <v>11</v>
      </c>
      <c r="L2" s="42" t="s">
        <v>12</v>
      </c>
      <c r="M2" s="44" t="s">
        <v>40</v>
      </c>
      <c r="N2" s="44" t="s">
        <v>41</v>
      </c>
    </row>
    <row r="3" spans="1:14" ht="15" thickBot="1" x14ac:dyDescent="0.4">
      <c r="A3" s="43"/>
      <c r="B3" s="43"/>
      <c r="C3" s="43"/>
      <c r="D3" s="43"/>
      <c r="E3" s="43"/>
      <c r="F3" s="43"/>
      <c r="G3" s="43"/>
      <c r="H3" s="16" t="s">
        <v>15</v>
      </c>
      <c r="I3" s="43"/>
      <c r="J3" s="43"/>
      <c r="K3" s="43"/>
      <c r="L3" s="43"/>
      <c r="M3" s="45"/>
      <c r="N3" s="45"/>
    </row>
    <row r="4" spans="1:14" ht="15" thickBot="1" x14ac:dyDescent="0.4">
      <c r="A4" s="3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3</v>
      </c>
      <c r="G4" s="2">
        <v>3</v>
      </c>
      <c r="H4" s="2">
        <v>0</v>
      </c>
      <c r="I4" s="29">
        <v>32.679000000000002</v>
      </c>
      <c r="J4" s="8">
        <v>3.5276000000000001</v>
      </c>
      <c r="K4" s="21">
        <f>J4*45/E4</f>
        <v>3.9685499999999996</v>
      </c>
      <c r="L4" s="33">
        <f>(E4*K4+E5*K5+E6*K6+E7*K7)/160</f>
        <v>3.7997718749999998</v>
      </c>
      <c r="M4" s="21">
        <f>0.5*I4+20*J4</f>
        <v>86.891500000000008</v>
      </c>
      <c r="N4" s="48">
        <f>SUM(M4:M7)</f>
        <v>333.3433</v>
      </c>
    </row>
    <row r="5" spans="1:14" ht="15" thickBot="1" x14ac:dyDescent="0.4">
      <c r="A5" s="4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3</v>
      </c>
      <c r="G5" s="2">
        <v>3</v>
      </c>
      <c r="H5" s="2">
        <v>0</v>
      </c>
      <c r="I5" s="31">
        <v>30.0016</v>
      </c>
      <c r="J5" s="8">
        <v>3.3435999999999999</v>
      </c>
      <c r="K5" s="21">
        <f t="shared" ref="K5:K19" si="1">J5*45/E5</f>
        <v>3.7615499999999997</v>
      </c>
      <c r="L5" s="34"/>
      <c r="M5" s="32">
        <f t="shared" ref="M5:M18" si="2">0.5*I5+20*J5</f>
        <v>81.872799999999998</v>
      </c>
      <c r="N5" s="49"/>
    </row>
    <row r="6" spans="1:14" ht="15" thickBot="1" x14ac:dyDescent="0.4">
      <c r="A6" s="4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3</v>
      </c>
      <c r="G6" s="2">
        <v>3</v>
      </c>
      <c r="H6" s="2">
        <v>0</v>
      </c>
      <c r="I6" s="29">
        <v>30.504000000000001</v>
      </c>
      <c r="J6" s="8">
        <v>3.3029000000000002</v>
      </c>
      <c r="K6" s="21">
        <f t="shared" si="1"/>
        <v>3.7157625000000003</v>
      </c>
      <c r="L6" s="34"/>
      <c r="M6" s="32">
        <f t="shared" si="2"/>
        <v>81.31</v>
      </c>
      <c r="N6" s="49"/>
    </row>
    <row r="7" spans="1:14" ht="15" thickBot="1" x14ac:dyDescent="0.4">
      <c r="A7" s="4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3</v>
      </c>
      <c r="G7" s="2">
        <v>3</v>
      </c>
      <c r="H7" s="2">
        <v>0</v>
      </c>
      <c r="I7" s="31">
        <v>33.090000000000003</v>
      </c>
      <c r="J7" s="8">
        <v>3.3361999999999998</v>
      </c>
      <c r="K7" s="21">
        <f t="shared" si="1"/>
        <v>3.7532249999999996</v>
      </c>
      <c r="L7" s="35"/>
      <c r="M7" s="32">
        <f t="shared" si="2"/>
        <v>83.268999999999991</v>
      </c>
      <c r="N7" s="50"/>
    </row>
    <row r="8" spans="1:14" ht="15" thickBot="1" x14ac:dyDescent="0.4">
      <c r="A8" s="39" t="s">
        <v>7</v>
      </c>
      <c r="B8" s="2" t="s">
        <v>6</v>
      </c>
      <c r="C8" s="2">
        <f t="shared" si="0"/>
        <v>16</v>
      </c>
      <c r="D8" s="2">
        <v>14</v>
      </c>
      <c r="E8" s="2">
        <v>30</v>
      </c>
      <c r="F8" s="9">
        <v>3</v>
      </c>
      <c r="G8" s="2">
        <v>3</v>
      </c>
      <c r="H8" s="2">
        <v>0</v>
      </c>
      <c r="I8" s="29">
        <v>22.49</v>
      </c>
      <c r="J8" s="8">
        <v>2.0392999999999999</v>
      </c>
      <c r="K8" s="21">
        <f t="shared" si="1"/>
        <v>3.0589499999999998</v>
      </c>
      <c r="L8" s="33">
        <f>(E8*K8+E9*K9+E10*K10+E11*K11)/160</f>
        <v>4.1315906249999994</v>
      </c>
      <c r="M8" s="32">
        <f t="shared" si="2"/>
        <v>52.030999999999999</v>
      </c>
      <c r="N8" s="36">
        <f>SUM(M8:M11)</f>
        <v>350.947</v>
      </c>
    </row>
    <row r="9" spans="1:14" ht="15" thickBot="1" x14ac:dyDescent="0.4">
      <c r="A9" s="40"/>
      <c r="B9" s="2" t="s">
        <v>7</v>
      </c>
      <c r="C9" s="2">
        <f t="shared" si="0"/>
        <v>25</v>
      </c>
      <c r="D9" s="2">
        <v>25</v>
      </c>
      <c r="E9" s="2">
        <v>50</v>
      </c>
      <c r="F9" s="9">
        <v>3</v>
      </c>
      <c r="G9" s="2">
        <v>3</v>
      </c>
      <c r="H9" s="2">
        <v>0</v>
      </c>
      <c r="I9" s="21">
        <v>33.877000000000002</v>
      </c>
      <c r="J9" s="8">
        <v>4.4945000000000004</v>
      </c>
      <c r="K9" s="21">
        <f t="shared" si="1"/>
        <v>4.0450500000000007</v>
      </c>
      <c r="L9" s="34"/>
      <c r="M9" s="32">
        <f t="shared" si="2"/>
        <v>106.82850000000002</v>
      </c>
      <c r="N9" s="37"/>
    </row>
    <row r="10" spans="1:14" ht="15" thickBot="1" x14ac:dyDescent="0.4">
      <c r="A10" s="40"/>
      <c r="B10" s="2" t="s">
        <v>8</v>
      </c>
      <c r="C10" s="2">
        <f t="shared" si="0"/>
        <v>12</v>
      </c>
      <c r="D10" s="2">
        <v>8</v>
      </c>
      <c r="E10" s="2">
        <v>20</v>
      </c>
      <c r="F10" s="9">
        <v>3</v>
      </c>
      <c r="G10" s="2">
        <v>3</v>
      </c>
      <c r="H10" s="2">
        <v>0</v>
      </c>
      <c r="I10" s="29">
        <v>21.974</v>
      </c>
      <c r="J10" s="8">
        <v>1.5194000000000001</v>
      </c>
      <c r="K10" s="21">
        <f t="shared" si="1"/>
        <v>3.4186500000000004</v>
      </c>
      <c r="L10" s="34"/>
      <c r="M10" s="32">
        <f t="shared" si="2"/>
        <v>41.375</v>
      </c>
      <c r="N10" s="37"/>
    </row>
    <row r="11" spans="1:14" ht="15" thickBot="1" x14ac:dyDescent="0.4">
      <c r="A11" s="41"/>
      <c r="B11" s="2" t="s">
        <v>9</v>
      </c>
      <c r="C11" s="2">
        <f t="shared" si="0"/>
        <v>29</v>
      </c>
      <c r="D11" s="2">
        <v>31</v>
      </c>
      <c r="E11" s="2">
        <v>60</v>
      </c>
      <c r="F11" s="9">
        <v>3</v>
      </c>
      <c r="G11" s="2">
        <v>3</v>
      </c>
      <c r="H11" s="2">
        <v>0</v>
      </c>
      <c r="I11" s="29">
        <v>35.948999999999998</v>
      </c>
      <c r="J11" s="8">
        <v>6.6368999999999998</v>
      </c>
      <c r="K11" s="21">
        <f t="shared" si="1"/>
        <v>4.9776750000000005</v>
      </c>
      <c r="L11" s="35"/>
      <c r="M11" s="32">
        <f t="shared" si="2"/>
        <v>150.71250000000001</v>
      </c>
      <c r="N11" s="38"/>
    </row>
    <row r="12" spans="1:14" ht="15" thickBot="1" x14ac:dyDescent="0.4">
      <c r="A12" s="39" t="s">
        <v>8</v>
      </c>
      <c r="B12" s="2" t="s">
        <v>6</v>
      </c>
      <c r="C12" s="2">
        <f t="shared" si="0"/>
        <v>5</v>
      </c>
      <c r="D12" s="2">
        <v>5</v>
      </c>
      <c r="E12" s="2">
        <v>10</v>
      </c>
      <c r="F12" s="9">
        <v>3</v>
      </c>
      <c r="G12" s="2">
        <v>2</v>
      </c>
      <c r="H12" s="2">
        <v>-1</v>
      </c>
      <c r="I12" s="29">
        <v>16.271999999999998</v>
      </c>
      <c r="J12" s="8">
        <v>0.70389999999999997</v>
      </c>
      <c r="K12" s="21">
        <f t="shared" si="1"/>
        <v>3.1675499999999999</v>
      </c>
      <c r="L12" s="33">
        <f>(E12*K12+E13*K13+E14*K14+E15*K15)/160</f>
        <v>4.2326437500000003</v>
      </c>
      <c r="M12" s="32">
        <f t="shared" si="2"/>
        <v>22.213999999999999</v>
      </c>
      <c r="N12" s="48">
        <f>SUM(M12:M15)</f>
        <v>362.64249999999998</v>
      </c>
    </row>
    <row r="13" spans="1:14" ht="15" thickBot="1" x14ac:dyDescent="0.4">
      <c r="A13" s="40"/>
      <c r="B13" s="2" t="s">
        <v>7</v>
      </c>
      <c r="C13" s="2">
        <f t="shared" si="0"/>
        <v>37</v>
      </c>
      <c r="D13" s="2">
        <v>33</v>
      </c>
      <c r="E13" s="2">
        <v>70</v>
      </c>
      <c r="F13" s="9">
        <v>3</v>
      </c>
      <c r="G13" s="2">
        <v>4</v>
      </c>
      <c r="H13" s="2">
        <v>1</v>
      </c>
      <c r="I13" s="29">
        <v>46.942999999999998</v>
      </c>
      <c r="J13" s="8">
        <v>6.4203999999999999</v>
      </c>
      <c r="K13" s="21">
        <f t="shared" si="1"/>
        <v>4.1273999999999997</v>
      </c>
      <c r="L13" s="34"/>
      <c r="M13" s="32">
        <f t="shared" si="2"/>
        <v>151.87949999999998</v>
      </c>
      <c r="N13" s="49"/>
    </row>
    <row r="14" spans="1:14" ht="15" thickBot="1" x14ac:dyDescent="0.4">
      <c r="A14" s="40"/>
      <c r="B14" s="2" t="s">
        <v>8</v>
      </c>
      <c r="C14" s="2">
        <f t="shared" si="0"/>
        <v>29</v>
      </c>
      <c r="D14" s="2">
        <v>31</v>
      </c>
      <c r="E14" s="2">
        <v>60</v>
      </c>
      <c r="F14" s="9">
        <v>3</v>
      </c>
      <c r="G14" s="2">
        <v>3</v>
      </c>
      <c r="H14" s="2">
        <v>0</v>
      </c>
      <c r="I14" s="21">
        <v>36.887</v>
      </c>
      <c r="J14" s="8">
        <v>6.4541000000000004</v>
      </c>
      <c r="K14" s="21">
        <f t="shared" si="1"/>
        <v>4.8405750000000003</v>
      </c>
      <c r="L14" s="34"/>
      <c r="M14" s="32">
        <f t="shared" si="2"/>
        <v>147.52549999999999</v>
      </c>
      <c r="N14" s="49"/>
    </row>
    <row r="15" spans="1:14" ht="15" thickBot="1" x14ac:dyDescent="0.4">
      <c r="A15" s="41"/>
      <c r="B15" s="2" t="s">
        <v>9</v>
      </c>
      <c r="C15" s="2">
        <f t="shared" si="0"/>
        <v>5</v>
      </c>
      <c r="D15" s="2">
        <v>15</v>
      </c>
      <c r="E15" s="2">
        <v>20</v>
      </c>
      <c r="F15" s="9">
        <v>3</v>
      </c>
      <c r="G15" s="2">
        <v>3</v>
      </c>
      <c r="H15" s="2">
        <v>0</v>
      </c>
      <c r="I15" s="29">
        <v>23.207000000000001</v>
      </c>
      <c r="J15" s="8">
        <v>1.4710000000000001</v>
      </c>
      <c r="K15" s="21">
        <f t="shared" si="1"/>
        <v>3.3097500000000002</v>
      </c>
      <c r="L15" s="35"/>
      <c r="M15" s="32">
        <f t="shared" si="2"/>
        <v>41.023499999999999</v>
      </c>
      <c r="N15" s="50"/>
    </row>
    <row r="16" spans="1:14" ht="15" thickBot="1" x14ac:dyDescent="0.4">
      <c r="A16" s="3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2</v>
      </c>
      <c r="G16" s="2">
        <v>3</v>
      </c>
      <c r="H16" s="2">
        <v>1</v>
      </c>
      <c r="I16" s="29">
        <v>33.823999999999998</v>
      </c>
      <c r="J16" s="8">
        <v>3.7774000000000001</v>
      </c>
      <c r="K16" s="21">
        <f t="shared" si="1"/>
        <v>4.2495750000000001</v>
      </c>
      <c r="L16" s="33">
        <f>(E16*K16+E17*K17+E18*K18+E19*K19)/160</f>
        <v>3.940228125</v>
      </c>
      <c r="M16" s="32">
        <f t="shared" si="2"/>
        <v>92.460000000000008</v>
      </c>
      <c r="N16" s="48">
        <f>SUM(M16:M19)</f>
        <v>343.37299999999999</v>
      </c>
    </row>
    <row r="17" spans="1:14" ht="15" thickBot="1" x14ac:dyDescent="0.4">
      <c r="A17" s="4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3</v>
      </c>
      <c r="H17" s="2">
        <v>-1</v>
      </c>
      <c r="I17" s="29">
        <v>31.966999999999999</v>
      </c>
      <c r="J17" s="8">
        <v>3.7744</v>
      </c>
      <c r="K17" s="21">
        <f t="shared" si="1"/>
        <v>4.2462</v>
      </c>
      <c r="L17" s="34"/>
      <c r="M17" s="32">
        <f t="shared" si="2"/>
        <v>91.471499999999992</v>
      </c>
      <c r="N17" s="49"/>
    </row>
    <row r="18" spans="1:14" ht="15" thickBot="1" x14ac:dyDescent="0.4">
      <c r="A18" s="4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3</v>
      </c>
      <c r="G18" s="2">
        <v>3</v>
      </c>
      <c r="H18" s="2">
        <v>0</v>
      </c>
      <c r="I18" s="29">
        <v>30.963000000000001</v>
      </c>
      <c r="J18" s="8">
        <v>3.5053000000000001</v>
      </c>
      <c r="K18" s="21">
        <f t="shared" si="1"/>
        <v>3.9434625000000003</v>
      </c>
      <c r="L18" s="34"/>
      <c r="M18" s="32">
        <f t="shared" si="2"/>
        <v>85.587499999999991</v>
      </c>
      <c r="N18" s="49"/>
    </row>
    <row r="19" spans="1:14" ht="15" thickBot="1" x14ac:dyDescent="0.4">
      <c r="A19" s="4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3</v>
      </c>
      <c r="G19" s="2">
        <v>3</v>
      </c>
      <c r="H19" s="2">
        <v>0</v>
      </c>
      <c r="I19" s="29">
        <v>29.603999999999999</v>
      </c>
      <c r="J19" s="8">
        <v>2.9525999999999999</v>
      </c>
      <c r="K19" s="21">
        <f t="shared" si="1"/>
        <v>3.3216749999999999</v>
      </c>
      <c r="L19" s="35"/>
      <c r="M19" s="32">
        <f>0.5*I19+20*J19</f>
        <v>73.853999999999999</v>
      </c>
      <c r="N19" s="50"/>
    </row>
    <row r="20" spans="1:14" ht="15" thickBot="1" x14ac:dyDescent="0.4">
      <c r="A20" s="46" t="s">
        <v>10</v>
      </c>
      <c r="B20" s="47"/>
      <c r="C20" s="14">
        <f t="shared" ref="C20:J20" si="3">SUM(C4:C19)</f>
        <v>307</v>
      </c>
      <c r="D20" s="14">
        <f t="shared" si="3"/>
        <v>333</v>
      </c>
      <c r="E20" s="14">
        <f t="shared" si="3"/>
        <v>640</v>
      </c>
      <c r="F20" s="14">
        <f t="shared" si="3"/>
        <v>48</v>
      </c>
      <c r="G20" s="14">
        <f t="shared" si="3"/>
        <v>48</v>
      </c>
      <c r="H20" s="14">
        <f t="shared" si="3"/>
        <v>0</v>
      </c>
      <c r="I20" s="21">
        <f t="shared" si="3"/>
        <v>490.23159999999996</v>
      </c>
      <c r="J20" s="21">
        <f t="shared" si="3"/>
        <v>57.259500000000003</v>
      </c>
      <c r="K20" s="14"/>
      <c r="L20" s="21">
        <f>AVERAGE(L4:L19)</f>
        <v>4.0260585937500002</v>
      </c>
      <c r="M20" s="21">
        <f>SUM(M5:M19)</f>
        <v>1303.4143000000001</v>
      </c>
      <c r="N20" s="21">
        <f>SUM(N4:N19)</f>
        <v>1390.3058000000001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zoomScaleNormal="100" workbookViewId="0">
      <selection activeCell="L11" sqref="L11"/>
    </sheetView>
  </sheetViews>
  <sheetFormatPr defaultRowHeight="14.5" x14ac:dyDescent="0.35"/>
  <cols>
    <col min="2" max="2" width="7.6328125" customWidth="1"/>
    <col min="3" max="3" width="9.90625" customWidth="1"/>
    <col min="10" max="10" width="10.36328125" bestFit="1" customWidth="1"/>
  </cols>
  <sheetData>
    <row r="1" spans="1:10" ht="15" thickBot="1" x14ac:dyDescent="0.4">
      <c r="A1" s="51" t="s">
        <v>17</v>
      </c>
      <c r="B1" s="56" t="s">
        <v>18</v>
      </c>
      <c r="C1" s="57"/>
      <c r="D1" s="56" t="s">
        <v>19</v>
      </c>
      <c r="E1" s="57"/>
      <c r="F1" s="56" t="s">
        <v>20</v>
      </c>
      <c r="G1" s="57"/>
      <c r="H1" s="56" t="s">
        <v>21</v>
      </c>
      <c r="I1" s="57"/>
      <c r="J1" s="51" t="s">
        <v>22</v>
      </c>
    </row>
    <row r="2" spans="1:10" ht="52.5" thickBot="1" x14ac:dyDescent="0.4">
      <c r="A2" s="52"/>
      <c r="B2" s="3" t="s">
        <v>23</v>
      </c>
      <c r="C2" s="3" t="s">
        <v>49</v>
      </c>
      <c r="D2" s="3" t="s">
        <v>24</v>
      </c>
      <c r="E2" s="3" t="s">
        <v>49</v>
      </c>
      <c r="F2" s="3" t="s">
        <v>24</v>
      </c>
      <c r="G2" s="3" t="s">
        <v>49</v>
      </c>
      <c r="H2" s="3" t="s">
        <v>24</v>
      </c>
      <c r="I2" s="3" t="s">
        <v>25</v>
      </c>
      <c r="J2" s="52"/>
    </row>
    <row r="3" spans="1:10" ht="15" thickBot="1" x14ac:dyDescent="0.4">
      <c r="A3" s="10" t="s">
        <v>26</v>
      </c>
      <c r="B3" s="12" t="s">
        <v>44</v>
      </c>
      <c r="C3" s="11">
        <v>1.6007</v>
      </c>
      <c r="D3" s="3" t="s">
        <v>45</v>
      </c>
      <c r="E3" s="11">
        <v>1.5215000000000001</v>
      </c>
      <c r="F3" s="3" t="s">
        <v>46</v>
      </c>
      <c r="G3" s="11">
        <v>1.5257000000000001</v>
      </c>
      <c r="H3" s="3" t="s">
        <v>47</v>
      </c>
      <c r="I3" s="11">
        <v>1.4527000000000001</v>
      </c>
      <c r="J3" s="11">
        <f>AVERAGE(I3,G3,E3,C3)</f>
        <v>1.52515</v>
      </c>
    </row>
    <row r="4" spans="1:10" ht="15" thickBot="1" x14ac:dyDescent="0.4">
      <c r="A4" s="10" t="s">
        <v>27</v>
      </c>
      <c r="B4" s="12" t="s">
        <v>51</v>
      </c>
      <c r="C4" s="11">
        <v>1.3544</v>
      </c>
      <c r="D4" s="3" t="s">
        <v>59</v>
      </c>
      <c r="E4" s="11">
        <v>1.4420999999999999</v>
      </c>
      <c r="F4" s="3" t="s">
        <v>60</v>
      </c>
      <c r="G4" s="11">
        <v>1.6285000000000001</v>
      </c>
      <c r="H4" s="3" t="s">
        <v>61</v>
      </c>
      <c r="I4" s="11">
        <v>1.5805</v>
      </c>
      <c r="J4" s="11">
        <f>AVERAGE(I4,G4,E4,C4)</f>
        <v>1.5013749999999999</v>
      </c>
    </row>
    <row r="5" spans="1:10" ht="15" thickBot="1" x14ac:dyDescent="0.4">
      <c r="A5" s="10" t="s">
        <v>28</v>
      </c>
      <c r="B5" s="12" t="s">
        <v>62</v>
      </c>
      <c r="C5" s="11">
        <v>1.5404</v>
      </c>
      <c r="D5" s="3" t="s">
        <v>63</v>
      </c>
      <c r="E5" s="11">
        <v>1.5216000000000001</v>
      </c>
      <c r="F5" s="3" t="s">
        <v>64</v>
      </c>
      <c r="G5" s="11">
        <v>1.5143</v>
      </c>
      <c r="H5" s="3" t="s">
        <v>65</v>
      </c>
      <c r="I5" s="11">
        <v>1.4831000000000001</v>
      </c>
      <c r="J5" s="11">
        <f>AVERAGE(I5,G5,E5,C5)</f>
        <v>1.51485</v>
      </c>
    </row>
    <row r="6" spans="1:10" ht="15" thickBot="1" x14ac:dyDescent="0.4">
      <c r="A6" s="10" t="s">
        <v>29</v>
      </c>
      <c r="B6" s="12" t="s">
        <v>44</v>
      </c>
      <c r="C6" s="11">
        <v>1.5302</v>
      </c>
      <c r="D6" s="3" t="s">
        <v>48</v>
      </c>
      <c r="E6" s="11">
        <v>1.6447000000000001</v>
      </c>
      <c r="F6" s="3" t="s">
        <v>44</v>
      </c>
      <c r="G6" s="11">
        <v>1.5522</v>
      </c>
      <c r="H6" s="3" t="s">
        <v>47</v>
      </c>
      <c r="I6" s="11">
        <v>1.4224000000000001</v>
      </c>
      <c r="J6" s="11">
        <f>AVERAGE(I6,G6,E6,C6)</f>
        <v>1.5373749999999999</v>
      </c>
    </row>
    <row r="7" spans="1:10" ht="15" thickBot="1" x14ac:dyDescent="0.4">
      <c r="A7" s="53" t="s">
        <v>30</v>
      </c>
      <c r="B7" s="54"/>
      <c r="C7" s="54"/>
      <c r="D7" s="54"/>
      <c r="E7" s="54"/>
      <c r="F7" s="54"/>
      <c r="G7" s="54"/>
      <c r="H7" s="54"/>
      <c r="I7" s="55"/>
      <c r="J7" s="11">
        <f>AVERAGE(J3:J6)</f>
        <v>1.5196875000000001</v>
      </c>
    </row>
    <row r="8" spans="1:10" x14ac:dyDescent="0.35">
      <c r="A8" s="4" t="s">
        <v>31</v>
      </c>
    </row>
  </sheetData>
  <mergeCells count="7">
    <mergeCell ref="J1:J2"/>
    <mergeCell ref="A7:I7"/>
    <mergeCell ref="A1:A2"/>
    <mergeCell ref="B1:C1"/>
    <mergeCell ref="D1:E1"/>
    <mergeCell ref="F1:G1"/>
    <mergeCell ref="H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Analysis</vt:lpstr>
      <vt:lpstr>ratio3</vt:lpstr>
      <vt:lpstr>ratio3.5</vt:lpstr>
      <vt:lpstr>ratio4</vt:lpstr>
      <vt:lpstr>passengers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Amirreza Nickkar</cp:lastModifiedBy>
  <dcterms:created xsi:type="dcterms:W3CDTF">2017-11-25T12:35:23Z</dcterms:created>
  <dcterms:modified xsi:type="dcterms:W3CDTF">2018-04-15T00:24:09Z</dcterms:modified>
</cp:coreProperties>
</file>