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4"/>
  <workbookPr codeName="ThisWorkbook"/>
  <mc:AlternateContent xmlns:mc="http://schemas.openxmlformats.org/markup-compatibility/2006">
    <mc:Choice Requires="x15">
      <x15ac:absPath xmlns:x15ac="http://schemas.microsoft.com/office/spreadsheetml/2010/11/ac" url="/Users/recone/Documents/Faculty Senate/FS Meetings - 2020-2021/November 10 2020/gened attach for senators/"/>
    </mc:Choice>
  </mc:AlternateContent>
  <xr:revisionPtr revIDLastSave="0" documentId="8_{7A77869A-DB0D-A249-B389-B8C289F3A63A}" xr6:coauthVersionLast="45" xr6:coauthVersionMax="45" xr10:uidLastSave="{00000000-0000-0000-0000-000000000000}"/>
  <bookViews>
    <workbookView xWindow="0" yWindow="460" windowWidth="21600" windowHeight="10060" activeTab="1" xr2:uid="{00000000-000D-0000-FFFF-FFFF00000000}"/>
  </bookViews>
  <sheets>
    <sheet name="CURRENTMODEL" sheetId="3" r:id="rId1"/>
    <sheet name="MODEL2019" sheetId="6" r:id="rId2"/>
    <sheet name="GenEdTiming" sheetId="2" r:id="rId3"/>
    <sheet name="CurrentCapstone" sheetId="5" r:id="rId4"/>
  </sheets>
  <definedNames>
    <definedName name="_xlnm.Print_Area" localSheetId="3">CurrentCapstone!$A$1:$D$43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6" l="1"/>
  <c r="G13" i="6" s="1"/>
  <c r="G11" i="6" l="1"/>
  <c r="G12" i="6"/>
  <c r="H23" i="6" l="1"/>
  <c r="J23" i="6" s="1"/>
  <c r="J20" i="6"/>
  <c r="J22" i="6"/>
  <c r="J21" i="6"/>
  <c r="F18" i="6"/>
  <c r="J16" i="6"/>
  <c r="F15" i="6"/>
  <c r="F14" i="6"/>
  <c r="D5" i="6"/>
  <c r="D4" i="6"/>
  <c r="E15" i="6" l="1"/>
  <c r="E20" i="6"/>
  <c r="E21" i="6"/>
  <c r="E17" i="6"/>
  <c r="H17" i="6" s="1"/>
  <c r="J17" i="6" s="1"/>
  <c r="E22" i="6"/>
  <c r="E9" i="6"/>
  <c r="H9" i="6" s="1"/>
  <c r="E11" i="6"/>
  <c r="H11" i="6" s="1"/>
  <c r="E14" i="6"/>
  <c r="E18" i="6"/>
  <c r="H18" i="6" s="1"/>
  <c r="J18" i="6" s="1"/>
  <c r="E19" i="6"/>
  <c r="H19" i="6" s="1"/>
  <c r="J19" i="6" s="1"/>
  <c r="E8" i="6"/>
  <c r="H8" i="6" s="1"/>
  <c r="J8" i="6" s="1"/>
  <c r="E10" i="6"/>
  <c r="H10" i="6" s="1"/>
  <c r="E12" i="6"/>
  <c r="H12" i="6" s="1"/>
  <c r="B42" i="5"/>
  <c r="H13" i="6" l="1"/>
  <c r="E13" i="6"/>
  <c r="B43" i="5"/>
  <c r="J13" i="6" l="1"/>
  <c r="J24" i="6" s="1"/>
  <c r="F19" i="3" l="1"/>
  <c r="F15" i="3" l="1"/>
  <c r="E17" i="3" l="1"/>
  <c r="D5" i="3"/>
  <c r="D4" i="3"/>
  <c r="E21" i="3"/>
  <c r="E18" i="3"/>
  <c r="E16" i="3"/>
  <c r="D20" i="3" l="1"/>
  <c r="G20" i="3" s="1"/>
  <c r="H20" i="3" s="1"/>
  <c r="D18" i="3"/>
  <c r="D21" i="3"/>
  <c r="G21" i="3" s="1"/>
  <c r="D17" i="3"/>
  <c r="D13" i="3"/>
  <c r="D12" i="3"/>
  <c r="D16" i="3"/>
  <c r="D11" i="3"/>
  <c r="G11" i="3" s="1"/>
  <c r="D10" i="3"/>
  <c r="G10" i="3" s="1"/>
  <c r="D14" i="3"/>
  <c r="D9" i="3"/>
  <c r="G9" i="3" s="1"/>
  <c r="D8" i="3"/>
  <c r="G8" i="3" s="1"/>
  <c r="H21" i="3" l="1"/>
  <c r="I21" i="3" s="1"/>
  <c r="I8" i="3"/>
  <c r="H8" i="3"/>
  <c r="H11" i="3"/>
  <c r="I11" i="3" s="1"/>
  <c r="H9" i="3"/>
  <c r="I9" i="3" s="1"/>
  <c r="H10" i="3"/>
  <c r="I10" i="3" s="1"/>
  <c r="D19" i="3"/>
  <c r="G19" i="3" s="1"/>
  <c r="D15" i="3"/>
  <c r="G15" i="3" s="1"/>
  <c r="I20" i="3"/>
  <c r="H19" i="3" l="1"/>
  <c r="I19" i="3" s="1"/>
  <c r="H15" i="3"/>
  <c r="I15" i="3" s="1"/>
  <c r="I2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Michael Scott</author>
  </authors>
  <commentList>
    <comment ref="A1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Michael Scott:</t>
        </r>
        <r>
          <rPr>
            <sz val="9"/>
            <color indexed="81"/>
            <rFont val="Tahoma"/>
            <family val="2"/>
          </rPr>
          <t xml:space="preserve">
All scenarios assume that the same courses will be offered in the future
</t>
        </r>
      </text>
    </comment>
    <comment ref="D9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Michael Scott:</t>
        </r>
        <r>
          <rPr>
            <sz val="9"/>
            <color indexed="81"/>
            <rFont val="Tahoma"/>
            <family val="2"/>
          </rPr>
          <t xml:space="preserve">
Assumed combined rate of HIST take would be Other History</t>
        </r>
      </text>
    </comment>
    <comment ref="E9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Michael Scott:</t>
        </r>
        <r>
          <rPr>
            <sz val="9"/>
            <color indexed="81"/>
            <rFont val="Tahoma"/>
            <family val="2"/>
          </rPr>
          <t xml:space="preserve">
Assumed timing of HIST take would be same as Global History</t>
        </r>
      </text>
    </comment>
    <comment ref="F9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Michael Scott:</t>
        </r>
        <r>
          <rPr>
            <sz val="9"/>
            <color indexed="81"/>
            <rFont val="Tahoma"/>
            <family val="2"/>
          </rPr>
          <t xml:space="preserve">
Assumed HIST would hold the line on smaller course size</t>
        </r>
      </text>
    </comment>
    <comment ref="G9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Michael Scott:</t>
        </r>
        <r>
          <rPr>
            <sz val="9"/>
            <color indexed="81"/>
            <rFont val="Tahoma"/>
            <family val="2"/>
          </rPr>
          <t xml:space="preserve">
Combined old 2A &amp; 2B section count</t>
        </r>
      </text>
    </comment>
    <comment ref="D10" authorId="0" shapeId="0" xr:uid="{42C8C243-1D18-4E48-9BBE-F69580FBFEAA}">
      <text>
        <r>
          <rPr>
            <b/>
            <sz val="9"/>
            <color indexed="81"/>
            <rFont val="Tahoma"/>
            <family val="2"/>
          </rPr>
          <t>Michael Scott:</t>
        </r>
        <r>
          <rPr>
            <sz val="9"/>
            <color indexed="81"/>
            <rFont val="Tahoma"/>
            <family val="2"/>
          </rPr>
          <t xml:space="preserve">
Assumes the take-rate is the same as old 3A</t>
        </r>
      </text>
    </comment>
    <comment ref="G10" authorId="0" shapeId="0" xr:uid="{6DF13C36-E049-4760-BDB4-D6A7F678537E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Old 3A count with Lit accounted for in LtL</t>
        </r>
      </text>
    </comment>
    <comment ref="G11" authorId="0" shapeId="0" xr:uid="{4386E2A7-D450-471F-8A9E-E2A6D5F51A6E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Assumption of 2/3 of Social Science courses because all of 3B and some of 3C</t>
        </r>
      </text>
    </comment>
    <comment ref="G12" authorId="0" shapeId="0" xr:uid="{2C6DF09B-FD2D-4075-A786-317C2FB5350D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Assumption of 1/3 of Social Science courses</t>
        </r>
      </text>
    </comment>
    <comment ref="I13" authorId="0" shapeId="0" xr:uid="{81DD6749-C05A-4BD2-B10B-258033EB92CA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Total of courses previously needed for HIST, LIT and all other Group 3 majors</t>
        </r>
      </text>
    </comment>
    <comment ref="G14" authorId="0" shapeId="0" xr:uid="{C065FAF7-65E2-497B-A829-ABA1BE47BC8E}">
      <text>
        <r>
          <rPr>
            <b/>
            <sz val="9"/>
            <color indexed="81"/>
            <rFont val="Tahoma"/>
            <family val="2"/>
          </rPr>
          <t>Michael Scott:</t>
        </r>
        <r>
          <rPr>
            <sz val="9"/>
            <color indexed="81"/>
            <rFont val="Tahoma"/>
            <family val="2"/>
          </rPr>
          <t xml:space="preserve">
Sum of old 4A</t>
        </r>
      </text>
    </comment>
    <comment ref="B15" authorId="0" shapeId="0" xr:uid="{00000000-0006-0000-0200-000006000000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The new SoS category will not count MATH as a science.  This should have very little impact on workload</t>
        </r>
      </text>
    </comment>
    <comment ref="E15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Michael Scott:</t>
        </r>
        <r>
          <rPr>
            <sz val="9"/>
            <color indexed="81"/>
            <rFont val="Tahoma"/>
            <family val="2"/>
          </rPr>
          <t xml:space="preserve">
Assume the timing of non-lab science stays the same…could move earlier</t>
        </r>
      </text>
    </comment>
    <comment ref="C20" authorId="0" shapeId="0" xr:uid="{00000000-0006-0000-0200-00000D000000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Most likely Seidel and Fulton</t>
        </r>
      </text>
    </comment>
    <comment ref="E20" authorId="0" shapeId="0" xr:uid="{00000000-0006-0000-0200-00000E000000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Unlikely this requirement will be satisfied in first year by all students</t>
        </r>
      </text>
    </comment>
    <comment ref="H20" authorId="0" shapeId="0" xr:uid="{26C9FF8A-3ABF-490D-9B7C-2BBD0787E1B1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Requirement will be combined with some other Univ course</t>
        </r>
      </text>
    </comment>
    <comment ref="C21" authorId="0" shapeId="0" xr:uid="{00000000-0006-0000-0200-000008000000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but most likely Fulton, Seidel, CHHS</t>
        </r>
      </text>
    </comment>
    <comment ref="E21" authorId="0" shapeId="0" xr:uid="{00000000-0006-0000-0200-000009000000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Unlikely this requirement will be satisfied in first year by all students</t>
        </r>
      </text>
    </comment>
    <comment ref="H21" authorId="0" shapeId="0" xr:uid="{00000000-0006-0000-0200-00000A000000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Requirement will be combined with some other Univ course</t>
        </r>
      </text>
    </comment>
    <comment ref="C22" authorId="0" shapeId="0" xr:uid="{00000000-0006-0000-0200-00000B000000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But most likely Henson and some Fulton</t>
        </r>
      </text>
    </comment>
    <comment ref="E22" authorId="0" shapeId="0" xr:uid="{00000000-0006-0000-0200-00000C000000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Unlikely this requirement will be satisfied in first year by all students</t>
        </r>
      </text>
    </comment>
    <comment ref="H22" authorId="0" shapeId="0" xr:uid="{8844FDC5-2BB8-4F3C-AA36-807383253123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Requirement will be combined with some other Univ course</t>
        </r>
      </text>
    </comment>
    <comment ref="E23" authorId="0" shapeId="0" xr:uid="{00000000-0006-0000-0200-00000F000000}">
      <text>
        <r>
          <rPr>
            <b/>
            <sz val="9"/>
            <color indexed="81"/>
            <rFont val="Tahoma"/>
            <charset val="1"/>
          </rPr>
          <t>Michael Scott:</t>
        </r>
        <r>
          <rPr>
            <sz val="9"/>
            <color indexed="81"/>
            <rFont val="Tahoma"/>
            <charset val="1"/>
          </rPr>
          <t xml:space="preserve">
4 majors (BIOL, ENGL, ECON, POSC) do not have capstones.  That is 812 students total, 25% should need this requirement per year</t>
        </r>
      </text>
    </comment>
  </commentList>
</comments>
</file>

<file path=xl/sharedStrings.xml><?xml version="1.0" encoding="utf-8"?>
<sst xmlns="http://schemas.openxmlformats.org/spreadsheetml/2006/main" count="251" uniqueCount="162">
  <si>
    <t>Human  Expression</t>
  </si>
  <si>
    <t>Humanity in Context</t>
  </si>
  <si>
    <t>MATH</t>
  </si>
  <si>
    <t>Social Configuration</t>
  </si>
  <si>
    <t>Social Issues</t>
  </si>
  <si>
    <t>Hands-on Science</t>
  </si>
  <si>
    <t>Solutions through Science</t>
  </si>
  <si>
    <t>Personal Wellness</t>
  </si>
  <si>
    <t>ENGL, HONR</t>
  </si>
  <si>
    <t>BIOL, CHEM, PHYS, GEOG</t>
  </si>
  <si>
    <t>FTWL</t>
  </si>
  <si>
    <t>New GenEd Category</t>
  </si>
  <si>
    <t>Sections offered in AY19</t>
  </si>
  <si>
    <t>HE, HiC, SC, SI combined</t>
  </si>
  <si>
    <t>1800 F/600 S</t>
  </si>
  <si>
    <t>FTS/TRN AY19</t>
  </si>
  <si>
    <t>ART, ASL, CHIN, CMAT, DANC, FREN, GERM, HIST, HONR, MDFL, MUSC, NURS, PHIL, SPAN, THEA</t>
  </si>
  <si>
    <t>ANTH, CADR, ECON, FINA, GEOG, HIST, HONR, POSC, PSYC, SOCI</t>
  </si>
  <si>
    <t>GenEd Demand Scenarios</t>
  </si>
  <si>
    <t>Net Gain/(Loss)</t>
  </si>
  <si>
    <t>Expected Students</t>
  </si>
  <si>
    <t>Avg course size (AY19)</t>
  </si>
  <si>
    <t>Expected DISC (Current)</t>
  </si>
  <si>
    <t>ART, ASL, CHIN, CMAT, DANC, FREN, GERM, HIST, HONR, MDFL, MUSC, NURS, PHIL, SPAN, THEA, ANTH, CADR, ECON, FINA, GEOG, HIST, HONR, POSC, PSYC, SOCI</t>
  </si>
  <si>
    <t>Old GenEd Category</t>
  </si>
  <si>
    <t>1A</t>
  </si>
  <si>
    <t>4C</t>
  </si>
  <si>
    <t>4B</t>
  </si>
  <si>
    <t>1B</t>
  </si>
  <si>
    <t>Sections Needed for GenEd</t>
  </si>
  <si>
    <t>First Year Seminar</t>
  </si>
  <si>
    <t>Course sections needed for GenEd</t>
  </si>
  <si>
    <t>% Taking GenEd group at SU</t>
  </si>
  <si>
    <t>Year 2</t>
  </si>
  <si>
    <t>Year 3</t>
  </si>
  <si>
    <t>Year 1</t>
  </si>
  <si>
    <t>Year 3/4</t>
  </si>
  <si>
    <t>2A</t>
  </si>
  <si>
    <t>2B</t>
  </si>
  <si>
    <t>3A</t>
  </si>
  <si>
    <t>3B</t>
  </si>
  <si>
    <t>3C</t>
  </si>
  <si>
    <t>4A1</t>
  </si>
  <si>
    <t>4A2</t>
  </si>
  <si>
    <t>Current (Distributional) Model</t>
  </si>
  <si>
    <t>GenEd Category</t>
  </si>
  <si>
    <t>2A - World History</t>
  </si>
  <si>
    <t>2B - Other History</t>
  </si>
  <si>
    <t>3A - Arts and Humanities</t>
  </si>
  <si>
    <t>3B - Social Science</t>
  </si>
  <si>
    <t>3C - Either Arts and Humanities OR Social Science</t>
  </si>
  <si>
    <t>4A1 - Lab Science</t>
  </si>
  <si>
    <t>4A2 - Lab Science</t>
  </si>
  <si>
    <t>4B - Non Lab Science or Math</t>
  </si>
  <si>
    <t>4C - Mathematics</t>
  </si>
  <si>
    <t>5 - Fitness &amp; Wellness</t>
  </si>
  <si>
    <t>1B - Literature</t>
  </si>
  <si>
    <t>1A - Composition</t>
  </si>
  <si>
    <t>ENGL, SPAN, FREN</t>
  </si>
  <si>
    <t>HIST 101, 102, 103</t>
  </si>
  <si>
    <t>HIST</t>
  </si>
  <si>
    <t>BIOL, CHEM, PHYS, GEOG, COSC, MATH</t>
  </si>
  <si>
    <t>3A/3B/3C</t>
  </si>
  <si>
    <t>All of the Above</t>
  </si>
  <si>
    <t>4A/4B</t>
  </si>
  <si>
    <t>Sections for Majors/Other</t>
  </si>
  <si>
    <t>Communicating through Writing</t>
  </si>
  <si>
    <t>Sections for Majors/ Other</t>
  </si>
  <si>
    <t>Quantitative Analysis</t>
  </si>
  <si>
    <t>None</t>
  </si>
  <si>
    <t>FYS</t>
  </si>
  <si>
    <t>HoS/StS Combined</t>
  </si>
  <si>
    <r>
      <t xml:space="preserve">4B - Non Lab Science </t>
    </r>
    <r>
      <rPr>
        <sz val="11"/>
        <color rgb="FFFF0000"/>
        <rFont val="Calibri"/>
        <family val="2"/>
        <scheme val="minor"/>
      </rPr>
      <t>or Math</t>
    </r>
  </si>
  <si>
    <r>
      <t xml:space="preserve">BIOL, CHEM, PHYS, GEOG, COSC, </t>
    </r>
    <r>
      <rPr>
        <sz val="11"/>
        <color rgb="FFFF0000"/>
        <rFont val="Calibri"/>
        <family val="2"/>
        <scheme val="minor"/>
      </rPr>
      <t>MATH</t>
    </r>
  </si>
  <si>
    <t>Major</t>
  </si>
  <si>
    <t>MajorCountFall2018</t>
  </si>
  <si>
    <t>ACCT</t>
  </si>
  <si>
    <t>ART BA</t>
  </si>
  <si>
    <t>ART BFA</t>
  </si>
  <si>
    <t>BIOL</t>
  </si>
  <si>
    <t>CHEM</t>
  </si>
  <si>
    <t>CMAT</t>
  </si>
  <si>
    <t>HLTH</t>
  </si>
  <si>
    <t>COSC</t>
  </si>
  <si>
    <t>CADR</t>
  </si>
  <si>
    <t>ECED</t>
  </si>
  <si>
    <t>ERTH</t>
  </si>
  <si>
    <t>ECON</t>
  </si>
  <si>
    <t>ELED</t>
  </si>
  <si>
    <t>ENGL</t>
  </si>
  <si>
    <t>ENVR</t>
  </si>
  <si>
    <t>EXSC</t>
  </si>
  <si>
    <t>FINA</t>
  </si>
  <si>
    <t>FREN</t>
  </si>
  <si>
    <t>GEOG</t>
  </si>
  <si>
    <t>INFO</t>
  </si>
  <si>
    <t>INTB</t>
  </si>
  <si>
    <t>INTS</t>
  </si>
  <si>
    <t>MGMT</t>
  </si>
  <si>
    <t>MRKT</t>
  </si>
  <si>
    <t>MDTC</t>
  </si>
  <si>
    <t>MUSC</t>
  </si>
  <si>
    <t>NURS</t>
  </si>
  <si>
    <t>PHIL</t>
  </si>
  <si>
    <t>PHED</t>
  </si>
  <si>
    <t>PHYS</t>
  </si>
  <si>
    <t>POSC</t>
  </si>
  <si>
    <t>PSYC</t>
  </si>
  <si>
    <t>RESP</t>
  </si>
  <si>
    <t>SOWK</t>
  </si>
  <si>
    <t>SOCI</t>
  </si>
  <si>
    <t>SPAN</t>
  </si>
  <si>
    <t>THEA</t>
  </si>
  <si>
    <t>URPL</t>
  </si>
  <si>
    <t>CapstoneExper</t>
  </si>
  <si>
    <t>Y</t>
  </si>
  <si>
    <t>CapstDescr</t>
  </si>
  <si>
    <t>Internship</t>
  </si>
  <si>
    <t>Senior Exhibition</t>
  </si>
  <si>
    <t>N</t>
  </si>
  <si>
    <t>Adv Exp Chem</t>
  </si>
  <si>
    <t>Internship/Research/Consulting</t>
  </si>
  <si>
    <t>Practicum/Internship</t>
  </si>
  <si>
    <t>Clinical</t>
  </si>
  <si>
    <t>Research &amp; Writing</t>
  </si>
  <si>
    <t>Senior Seminar</t>
  </si>
  <si>
    <t>Internship/Seminar</t>
  </si>
  <si>
    <t>SA or Sem or Intern or Rese</t>
  </si>
  <si>
    <t>Study abroad</t>
  </si>
  <si>
    <t>Research Capstone</t>
  </si>
  <si>
    <t>SA/Internship</t>
  </si>
  <si>
    <t>Clinical Seminar</t>
  </si>
  <si>
    <t>Senior Project</t>
  </si>
  <si>
    <t>Research Methods</t>
  </si>
  <si>
    <t>Research</t>
  </si>
  <si>
    <t>Senior Experience</t>
  </si>
  <si>
    <t>Capstone Seminar</t>
  </si>
  <si>
    <t>?/Y</t>
  </si>
  <si>
    <t>Total NO</t>
  </si>
  <si>
    <t>Total No/Seniors</t>
  </si>
  <si>
    <t>Civic &amp; Community Engagement</t>
  </si>
  <si>
    <t>All DISC potentially</t>
  </si>
  <si>
    <t>--</t>
  </si>
  <si>
    <t>Environmental Sustainability</t>
  </si>
  <si>
    <t>Diversity and Inclusion</t>
  </si>
  <si>
    <t>Experiential Learning</t>
  </si>
  <si>
    <t>All DISC</t>
  </si>
  <si>
    <t>GenEd Timing from Curriculum Guides</t>
  </si>
  <si>
    <t>Current (Distributional) Model + FYS</t>
  </si>
  <si>
    <t>Series of 2 courses</t>
  </si>
  <si>
    <t>ART, ASL, CHIN, CMAT, DANC, ENGL, FREN, GERM, HONR, MDFL, MUSC, NURS, PHIL, SPAN, THEA</t>
  </si>
  <si>
    <t>Mapped DISC for Calculations</t>
  </si>
  <si>
    <t>2A/2B - History</t>
  </si>
  <si>
    <t>ANTH, CADR, ECON, FINA, GEOG, HONR, POSC, PSYC, SOCI (2/3)</t>
  </si>
  <si>
    <t>ANTH, CADR, ECON, FINA, GEOG, HONR, POSC, PSYC, SOCI (1/3)</t>
  </si>
  <si>
    <t>2A/2B/3A/3B/3C</t>
  </si>
  <si>
    <t>3C - Social Science</t>
  </si>
  <si>
    <t>Model 2019 (FYS, Exp; 11 course)</t>
  </si>
  <si>
    <t>Avg Course Size (AY19)</t>
  </si>
  <si>
    <t>Sections Offered in AY19</t>
  </si>
  <si>
    <t>Course Sections Needed for GenEd</t>
  </si>
  <si>
    <t>1B - Literature
3A - Arts and Humanities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</si>
</sst>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_);\(0\)"/>
    <numFmt numFmtId="165" formatCode="0.0"/>
    <numFmt numFmtId="166" formatCode="0.0%"/>
    <numFmt numFmtId="167" formatCode="0.0_);\(0.0\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9" fontId="0" fillId="0" borderId="0" xfId="1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2" borderId="0" xfId="0" applyFill="1" applyBorder="1" applyAlignment="1">
      <alignment vertical="center" wrapText="1"/>
    </xf>
    <xf numFmtId="0" fontId="3" fillId="0" borderId="0" xfId="0" applyFont="1"/>
    <xf numFmtId="0" fontId="4" fillId="0" borderId="2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166" fontId="0" fillId="0" borderId="0" xfId="1" applyNumberFormat="1" applyFont="1"/>
    <xf numFmtId="0" fontId="0" fillId="0" borderId="0" xfId="0" applyAlignment="1">
      <alignment horizontal="left"/>
    </xf>
    <xf numFmtId="0" fontId="0" fillId="3" borderId="1" xfId="0" applyFont="1" applyFill="1" applyBorder="1" applyAlignment="1">
      <alignment vertical="center" wrapText="1"/>
    </xf>
    <xf numFmtId="9" fontId="1" fillId="3" borderId="1" xfId="1" applyFont="1" applyFill="1" applyBorder="1" applyAlignment="1">
      <alignment horizontal="right" vertical="center"/>
    </xf>
    <xf numFmtId="165" fontId="0" fillId="3" borderId="1" xfId="0" applyNumberFormat="1" applyFont="1" applyFill="1" applyBorder="1" applyAlignment="1">
      <alignment horizontal="right" vertical="center"/>
    </xf>
    <xf numFmtId="1" fontId="0" fillId="3" borderId="1" xfId="0" applyNumberFormat="1" applyFont="1" applyFill="1" applyBorder="1" applyAlignment="1">
      <alignment horizontal="right" vertical="center"/>
    </xf>
    <xf numFmtId="164" fontId="0" fillId="3" borderId="1" xfId="0" applyNumberFormat="1" applyFont="1" applyFill="1" applyBorder="1" applyAlignment="1">
      <alignment horizontal="right" vertical="center"/>
    </xf>
    <xf numFmtId="164" fontId="0" fillId="3" borderId="7" xfId="0" applyNumberFormat="1" applyFont="1" applyFill="1" applyBorder="1" applyAlignment="1">
      <alignment horizontal="right" vertical="center"/>
    </xf>
    <xf numFmtId="167" fontId="0" fillId="3" borderId="1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0" fillId="0" borderId="0" xfId="0" quotePrefix="1" applyFill="1" applyAlignment="1">
      <alignment horizontal="right" vertical="center"/>
    </xf>
    <xf numFmtId="164" fontId="0" fillId="4" borderId="1" xfId="0" applyNumberFormat="1" applyFont="1" applyFill="1" applyBorder="1" applyAlignment="1">
      <alignment horizontal="right" vertical="center"/>
    </xf>
    <xf numFmtId="164" fontId="0" fillId="3" borderId="8" xfId="0" applyNumberFormat="1" applyFont="1" applyFill="1" applyBorder="1" applyAlignment="1">
      <alignment horizontal="right" vertical="center"/>
    </xf>
    <xf numFmtId="0" fontId="0" fillId="3" borderId="9" xfId="0" applyFont="1" applyFill="1" applyBorder="1" applyAlignment="1">
      <alignment vertical="center" wrapText="1"/>
    </xf>
    <xf numFmtId="164" fontId="0" fillId="3" borderId="9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 wrapText="1"/>
    </xf>
    <xf numFmtId="9" fontId="1" fillId="0" borderId="0" xfId="1" applyFont="1" applyFill="1" applyBorder="1" applyAlignment="1">
      <alignment horizontal="right" vertical="center"/>
    </xf>
    <xf numFmtId="1" fontId="0" fillId="0" borderId="0" xfId="0" applyNumberFormat="1" applyFont="1" applyFill="1" applyBorder="1" applyAlignment="1">
      <alignment horizontal="right" vertical="center"/>
    </xf>
    <xf numFmtId="167" fontId="0" fillId="0" borderId="0" xfId="0" applyNumberFormat="1" applyFont="1" applyFill="1" applyBorder="1" applyAlignment="1">
      <alignment horizontal="right" vertical="center"/>
    </xf>
    <xf numFmtId="164" fontId="0" fillId="0" borderId="0" xfId="0" applyNumberFormat="1" applyFont="1" applyFill="1" applyBorder="1" applyAlignment="1">
      <alignment horizontal="right" vertical="center"/>
    </xf>
    <xf numFmtId="164" fontId="0" fillId="0" borderId="0" xfId="0" applyNumberFormat="1" applyFont="1" applyFill="1" applyBorder="1" applyAlignment="1">
      <alignment horizontal="left" vertical="center" wrapText="1"/>
    </xf>
    <xf numFmtId="164" fontId="10" fillId="0" borderId="0" xfId="0" applyNumberFormat="1" applyFont="1" applyFill="1" applyBorder="1" applyAlignment="1">
      <alignment horizontal="left" vertical="center" wrapText="1"/>
    </xf>
    <xf numFmtId="0" fontId="0" fillId="3" borderId="10" xfId="0" applyFont="1" applyFill="1" applyBorder="1" applyAlignment="1">
      <alignment vertical="center" wrapText="1"/>
    </xf>
    <xf numFmtId="167" fontId="0" fillId="0" borderId="4" xfId="0" applyNumberFormat="1" applyFont="1" applyFill="1" applyBorder="1" applyAlignment="1">
      <alignment horizontal="right" vertical="center"/>
    </xf>
    <xf numFmtId="167" fontId="0" fillId="0" borderId="6" xfId="0" applyNumberFormat="1" applyFont="1" applyFill="1" applyBorder="1" applyAlignment="1">
      <alignment horizontal="right" vertical="center"/>
    </xf>
    <xf numFmtId="164" fontId="0" fillId="3" borderId="11" xfId="0" applyNumberFormat="1" applyFont="1" applyFill="1" applyBorder="1" applyAlignment="1">
      <alignment horizontal="left" vertical="center" wrapText="1"/>
    </xf>
    <xf numFmtId="0" fontId="0" fillId="3" borderId="11" xfId="0" applyFont="1" applyFill="1" applyBorder="1" applyAlignment="1">
      <alignment vertical="center" wrapText="1"/>
    </xf>
    <xf numFmtId="9" fontId="0" fillId="3" borderId="11" xfId="1" applyFont="1" applyFill="1" applyBorder="1" applyAlignment="1">
      <alignment horizontal="right" vertical="center"/>
    </xf>
    <xf numFmtId="1" fontId="0" fillId="3" borderId="11" xfId="0" applyNumberFormat="1" applyFont="1" applyFill="1" applyBorder="1" applyAlignment="1">
      <alignment horizontal="right" vertical="center"/>
    </xf>
    <xf numFmtId="167" fontId="0" fillId="3" borderId="11" xfId="0" applyNumberFormat="1" applyFont="1" applyFill="1" applyBorder="1" applyAlignment="1">
      <alignment horizontal="right" vertical="center"/>
    </xf>
    <xf numFmtId="164" fontId="0" fillId="3" borderId="11" xfId="0" applyNumberFormat="1" applyFont="1" applyFill="1" applyBorder="1" applyAlignment="1">
      <alignment horizontal="right" vertical="center"/>
    </xf>
    <xf numFmtId="164" fontId="0" fillId="0" borderId="5" xfId="0" applyNumberFormat="1" applyFont="1" applyFill="1" applyBorder="1" applyAlignment="1">
      <alignment horizontal="left" vertical="center" wrapText="1"/>
    </xf>
    <xf numFmtId="9" fontId="0" fillId="3" borderId="9" xfId="1" applyFont="1" applyFill="1" applyBorder="1" applyAlignment="1">
      <alignment vertical="center" wrapText="1"/>
    </xf>
    <xf numFmtId="1" fontId="0" fillId="3" borderId="9" xfId="0" applyNumberFormat="1" applyFont="1" applyFill="1" applyBorder="1" applyAlignment="1">
      <alignment horizontal="right" vertical="center"/>
    </xf>
    <xf numFmtId="1" fontId="0" fillId="0" borderId="0" xfId="0" applyNumberFormat="1" applyFont="1" applyFill="1" applyBorder="1" applyAlignment="1">
      <alignment horizontal="left" vertical="center"/>
    </xf>
    <xf numFmtId="9" fontId="0" fillId="0" borderId="0" xfId="1" applyFont="1" applyFill="1" applyBorder="1" applyAlignment="1">
      <alignment horizontal="right" vertical="center"/>
    </xf>
    <xf numFmtId="1" fontId="0" fillId="0" borderId="6" xfId="0" applyNumberFormat="1" applyFont="1" applyFill="1" applyBorder="1" applyAlignment="1">
      <alignment horizontal="right" vertical="center"/>
    </xf>
    <xf numFmtId="167" fontId="0" fillId="3" borderId="11" xfId="0" applyNumberFormat="1" applyFont="1" applyFill="1" applyBorder="1" applyAlignment="1">
      <alignment horizontal="right" vertical="center" wrapText="1"/>
    </xf>
    <xf numFmtId="164" fontId="0" fillId="3" borderId="11" xfId="0" applyNumberFormat="1" applyFont="1" applyFill="1" applyBorder="1" applyAlignment="1">
      <alignment horizontal="right" vertical="center" wrapText="1"/>
    </xf>
    <xf numFmtId="1" fontId="0" fillId="0" borderId="5" xfId="0" applyNumberFormat="1" applyFont="1" applyFill="1" applyBorder="1" applyAlignment="1">
      <alignment horizontal="left" vertical="center"/>
    </xf>
    <xf numFmtId="164" fontId="0" fillId="3" borderId="12" xfId="0" applyNumberFormat="1" applyFont="1" applyFill="1" applyBorder="1" applyAlignment="1">
      <alignment horizontal="left" vertical="center" wrapText="1"/>
    </xf>
    <xf numFmtId="164" fontId="0" fillId="4" borderId="9" xfId="0" applyNumberFormat="1" applyFont="1" applyFill="1" applyBorder="1" applyAlignment="1">
      <alignment horizontal="right" vertical="center"/>
    </xf>
    <xf numFmtId="1" fontId="0" fillId="0" borderId="0" xfId="0" applyNumberFormat="1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vertical="center" wrapText="1"/>
    </xf>
    <xf numFmtId="167" fontId="0" fillId="0" borderId="3" xfId="0" applyNumberFormat="1" applyFont="1" applyFill="1" applyBorder="1" applyAlignment="1">
      <alignment horizontal="right" vertical="center"/>
    </xf>
    <xf numFmtId="164" fontId="0" fillId="0" borderId="3" xfId="0" applyNumberFormat="1" applyFont="1" applyFill="1" applyBorder="1" applyAlignment="1">
      <alignment horizontal="right" vertical="center"/>
    </xf>
    <xf numFmtId="164" fontId="0" fillId="0" borderId="4" xfId="0" applyNumberFormat="1" applyFont="1" applyFill="1" applyBorder="1" applyAlignment="1">
      <alignment horizontal="right" vertical="center"/>
    </xf>
    <xf numFmtId="0" fontId="4" fillId="0" borderId="3" xfId="0" applyFont="1" applyFill="1" applyBorder="1" applyAlignment="1">
      <alignment vertical="center" wrapText="1"/>
    </xf>
    <xf numFmtId="9" fontId="4" fillId="0" borderId="3" xfId="1" applyFont="1" applyFill="1" applyBorder="1" applyAlignment="1">
      <alignment vertical="center" wrapText="1"/>
    </xf>
    <xf numFmtId="1" fontId="4" fillId="0" borderId="3" xfId="0" applyNumberFormat="1" applyFont="1" applyFill="1" applyBorder="1" applyAlignment="1">
      <alignment vertical="center" wrapText="1"/>
    </xf>
    <xf numFmtId="164" fontId="2" fillId="3" borderId="12" xfId="0" applyNumberFormat="1" applyFont="1" applyFill="1" applyBorder="1" applyAlignment="1">
      <alignment horizontal="left" vertical="center"/>
    </xf>
    <xf numFmtId="1" fontId="4" fillId="0" borderId="5" xfId="0" applyNumberFormat="1" applyFont="1" applyFill="1" applyBorder="1" applyAlignment="1">
      <alignment horizontal="left" vertic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4" borderId="0" xfId="0" applyFill="1"/>
    <xf numFmtId="0" fontId="2" fillId="0" borderId="0" xfId="0" applyFont="1"/>
    <xf numFmtId="0" fontId="2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25"/>
  <sheetViews>
    <sheetView workbookViewId="0">
      <selection activeCell="F12" sqref="F12"/>
    </sheetView>
  </sheetViews>
  <sheetFormatPr baseColWidth="10" defaultColWidth="8.83203125" defaultRowHeight="15" x14ac:dyDescent="0.2"/>
  <cols>
    <col min="1" max="1" width="29.6640625" bestFit="1" customWidth="1"/>
    <col min="2" max="2" width="35.83203125" customWidth="1"/>
    <col min="3" max="3" width="13" customWidth="1"/>
    <col min="5" max="5" width="11.6640625" customWidth="1"/>
    <col min="7" max="7" width="11.33203125" customWidth="1"/>
    <col min="8" max="8" width="8.6640625" customWidth="1"/>
    <col min="9" max="9" width="11.33203125" customWidth="1"/>
  </cols>
  <sheetData>
    <row r="1" spans="1:9" ht="19" x14ac:dyDescent="0.25">
      <c r="A1" s="6" t="s">
        <v>18</v>
      </c>
    </row>
    <row r="2" spans="1:9" ht="15" customHeight="1" x14ac:dyDescent="0.25">
      <c r="A2" s="6" t="s">
        <v>44</v>
      </c>
    </row>
    <row r="3" spans="1:9" ht="15" hidden="1" customHeight="1" x14ac:dyDescent="0.2">
      <c r="C3" t="s">
        <v>15</v>
      </c>
      <c r="D3">
        <v>2580</v>
      </c>
      <c r="G3" t="s">
        <v>14</v>
      </c>
    </row>
    <row r="4" spans="1:9" ht="15" hidden="1" customHeight="1" x14ac:dyDescent="0.2">
      <c r="C4" t="s">
        <v>33</v>
      </c>
      <c r="D4">
        <f>ROUND(D3*0.819,0)</f>
        <v>2113</v>
      </c>
    </row>
    <row r="5" spans="1:9" ht="15" hidden="1" customHeight="1" x14ac:dyDescent="0.2">
      <c r="C5" t="s">
        <v>34</v>
      </c>
      <c r="D5">
        <f>ROUND(D3*0.73,0)</f>
        <v>1883</v>
      </c>
    </row>
    <row r="6" spans="1:9" ht="15" customHeight="1" x14ac:dyDescent="0.2"/>
    <row r="7" spans="1:9" ht="61.5" customHeight="1" x14ac:dyDescent="0.2">
      <c r="A7" s="1" t="s">
        <v>45</v>
      </c>
      <c r="B7" s="1" t="s">
        <v>22</v>
      </c>
      <c r="C7" s="1" t="s">
        <v>32</v>
      </c>
      <c r="D7" s="1" t="s">
        <v>20</v>
      </c>
      <c r="E7" s="1" t="s">
        <v>158</v>
      </c>
      <c r="F7" s="1" t="s">
        <v>159</v>
      </c>
      <c r="G7" s="1" t="s">
        <v>160</v>
      </c>
      <c r="H7" s="1" t="s">
        <v>65</v>
      </c>
      <c r="I7" s="1" t="s">
        <v>29</v>
      </c>
    </row>
    <row r="8" spans="1:9" ht="16" x14ac:dyDescent="0.2">
      <c r="A8" s="14" t="s">
        <v>57</v>
      </c>
      <c r="B8" s="14" t="s">
        <v>8</v>
      </c>
      <c r="C8" s="15">
        <v>0.53</v>
      </c>
      <c r="D8" s="17">
        <f>((D$3*GenEdTiming!B5)+(CURRENTMODEL!D$4*GenEdTiming!C5)+(CURRENTMODEL!D$5*GenEdTiming!D5))*C8</f>
        <v>1367.4</v>
      </c>
      <c r="E8" s="20">
        <v>20.7</v>
      </c>
      <c r="F8" s="18">
        <v>66</v>
      </c>
      <c r="G8" s="18">
        <f t="shared" ref="G8:G15" si="0">D8/E8</f>
        <v>66.057971014492765</v>
      </c>
      <c r="H8" s="18">
        <f>F8-G8</f>
        <v>-5.7971014492764539E-2</v>
      </c>
      <c r="I8" s="18">
        <f>G8-F8</f>
        <v>5.7971014492764539E-2</v>
      </c>
    </row>
    <row r="9" spans="1:9" ht="16" x14ac:dyDescent="0.2">
      <c r="A9" s="14" t="s">
        <v>56</v>
      </c>
      <c r="B9" s="14" t="s">
        <v>58</v>
      </c>
      <c r="C9" s="15">
        <v>0.65</v>
      </c>
      <c r="D9" s="17">
        <f>((D$3*GenEdTiming!B6)+(CURRENTMODEL!D$4*GenEdTiming!C6)+(CURRENTMODEL!D$5*GenEdTiming!D6))*C9</f>
        <v>1394.2588328255247</v>
      </c>
      <c r="E9" s="20">
        <v>23.1</v>
      </c>
      <c r="F9" s="18">
        <v>77</v>
      </c>
      <c r="G9" s="18">
        <f t="shared" si="0"/>
        <v>60.357525230542187</v>
      </c>
      <c r="H9" s="18">
        <f t="shared" ref="H9:H11" si="1">F9-G9</f>
        <v>16.642474769457813</v>
      </c>
      <c r="I9" s="18">
        <f>G9-(F9-H9)</f>
        <v>0</v>
      </c>
    </row>
    <row r="10" spans="1:9" ht="16" x14ac:dyDescent="0.2">
      <c r="A10" s="14" t="s">
        <v>46</v>
      </c>
      <c r="B10" s="14" t="s">
        <v>59</v>
      </c>
      <c r="C10" s="15">
        <v>0.78</v>
      </c>
      <c r="D10" s="17">
        <f>((D$3*GenEdTiming!B7)+(CURRENTMODEL!D$4*GenEdTiming!C7)+(CURRENTMODEL!D$5*GenEdTiming!D7))*C10</f>
        <v>1994.6625668295487</v>
      </c>
      <c r="E10" s="20">
        <v>33.299999999999997</v>
      </c>
      <c r="F10" s="18">
        <v>62</v>
      </c>
      <c r="G10" s="18">
        <f t="shared" si="0"/>
        <v>59.899776781668137</v>
      </c>
      <c r="H10" s="18">
        <f t="shared" si="1"/>
        <v>2.1002232183318625</v>
      </c>
      <c r="I10" s="18">
        <f>G10-(F10-H10)</f>
        <v>0</v>
      </c>
    </row>
    <row r="11" spans="1:9" ht="16" x14ac:dyDescent="0.2">
      <c r="A11" s="14" t="s">
        <v>47</v>
      </c>
      <c r="B11" s="36" t="s">
        <v>60</v>
      </c>
      <c r="C11" s="15">
        <v>0.74</v>
      </c>
      <c r="D11" s="17">
        <f>((D$3*GenEdTiming!B8)+(CURRENTMODEL!D$4*GenEdTiming!C8)+(CURRENTMODEL!D$5*GenEdTiming!D8))*C11</f>
        <v>1613.1654354699626</v>
      </c>
      <c r="E11" s="20">
        <v>26.1</v>
      </c>
      <c r="F11" s="18">
        <v>76</v>
      </c>
      <c r="G11" s="18">
        <f t="shared" si="0"/>
        <v>61.807104807278257</v>
      </c>
      <c r="H11" s="18">
        <f t="shared" si="1"/>
        <v>14.192895192721743</v>
      </c>
      <c r="I11" s="18">
        <f>G11-(F11-H11)</f>
        <v>0</v>
      </c>
    </row>
    <row r="12" spans="1:9" ht="30" x14ac:dyDescent="0.2">
      <c r="A12" s="21" t="s">
        <v>48</v>
      </c>
      <c r="B12" s="23" t="s">
        <v>16</v>
      </c>
      <c r="C12" s="30">
        <v>0.8</v>
      </c>
      <c r="D12" s="31">
        <f>((D$3*GenEdTiming!B9)+(CURRENTMODEL!D$4*GenEdTiming!C9)+(CURRENTMODEL!D$5*GenEdTiming!D9))*C12</f>
        <v>1939.9242311008911</v>
      </c>
      <c r="E12" s="32">
        <v>20</v>
      </c>
      <c r="F12" s="33">
        <v>214</v>
      </c>
      <c r="G12" s="32"/>
      <c r="H12" s="33"/>
      <c r="I12" s="37"/>
    </row>
    <row r="13" spans="1:9" ht="30" x14ac:dyDescent="0.2">
      <c r="A13" s="22" t="s">
        <v>49</v>
      </c>
      <c r="B13" s="23" t="s">
        <v>17</v>
      </c>
      <c r="C13" s="30">
        <v>0.63</v>
      </c>
      <c r="D13" s="31">
        <f>((D$3*GenEdTiming!B10)+(CURRENTMODEL!D$4*GenEdTiming!C10)+(CURRENTMODEL!D$5*GenEdTiming!D10))*C13</f>
        <v>1510.6852213279678</v>
      </c>
      <c r="E13" s="32">
        <v>37.4</v>
      </c>
      <c r="F13" s="33">
        <v>101</v>
      </c>
      <c r="G13" s="32"/>
      <c r="H13" s="33"/>
      <c r="I13" s="38"/>
    </row>
    <row r="14" spans="1:9" ht="66.75" customHeight="1" x14ac:dyDescent="0.2">
      <c r="A14" s="45" t="s">
        <v>50</v>
      </c>
      <c r="B14" s="35" t="s">
        <v>23</v>
      </c>
      <c r="C14" s="30">
        <v>0.7</v>
      </c>
      <c r="D14" s="31">
        <f>((D$3*GenEdTiming!B11)+(CURRENTMODEL!D$4*GenEdTiming!C11)+(CURRENTMODEL!D$5*GenEdTiming!D11))*C14</f>
        <v>1474.3471830985916</v>
      </c>
      <c r="E14" s="32">
        <v>25.3</v>
      </c>
      <c r="F14" s="33"/>
      <c r="G14" s="32"/>
      <c r="H14" s="32"/>
      <c r="I14" s="38"/>
    </row>
    <row r="15" spans="1:9" ht="18" customHeight="1" x14ac:dyDescent="0.2">
      <c r="A15" s="54" t="s">
        <v>62</v>
      </c>
      <c r="B15" s="40" t="s">
        <v>63</v>
      </c>
      <c r="C15" s="41">
        <v>0.7</v>
      </c>
      <c r="D15" s="42">
        <f>D12+D13+D14</f>
        <v>4924.956635527451</v>
      </c>
      <c r="E15" s="43">
        <v>29.3</v>
      </c>
      <c r="F15" s="44">
        <f>F12+F13+F14</f>
        <v>315</v>
      </c>
      <c r="G15" s="44">
        <f t="shared" si="0"/>
        <v>168.08725718523723</v>
      </c>
      <c r="H15" s="44">
        <f t="shared" ref="H15" si="2">F15-G15</f>
        <v>146.91274281476277</v>
      </c>
      <c r="I15" s="19">
        <f>G15-(F15-H15)</f>
        <v>0</v>
      </c>
    </row>
    <row r="16" spans="1:9" x14ac:dyDescent="0.2">
      <c r="A16" s="53" t="s">
        <v>51</v>
      </c>
      <c r="B16" s="48" t="s">
        <v>9</v>
      </c>
      <c r="C16" s="49">
        <v>0.75</v>
      </c>
      <c r="D16" s="31">
        <f>((D$3*GenEdTiming!B12)+(CURRENTMODEL!D$4*GenEdTiming!C12)+(CURRENTMODEL!D$5*GenEdTiming!D12))*C16</f>
        <v>1808.0550086231674</v>
      </c>
      <c r="E16" s="31">
        <f>6339/295</f>
        <v>21.488135593220338</v>
      </c>
      <c r="F16" s="33">
        <v>148</v>
      </c>
      <c r="G16" s="31"/>
      <c r="H16" s="31"/>
      <c r="I16" s="50"/>
    </row>
    <row r="17" spans="1:9" x14ac:dyDescent="0.2">
      <c r="A17" s="53" t="s">
        <v>52</v>
      </c>
      <c r="B17" s="48" t="s">
        <v>9</v>
      </c>
      <c r="C17" s="49">
        <v>0.75</v>
      </c>
      <c r="D17" s="31">
        <f>((D$3*GenEdTiming!B13)+(CURRENTMODEL!D$4*GenEdTiming!C13)+(CURRENTMODEL!D$5*GenEdTiming!D13))*C17</f>
        <v>1637.592231963208</v>
      </c>
      <c r="E17" s="31">
        <f>6339/295</f>
        <v>21.488135593220338</v>
      </c>
      <c r="F17" s="33">
        <v>147</v>
      </c>
      <c r="G17" s="31"/>
      <c r="H17" s="31"/>
      <c r="I17" s="50"/>
    </row>
    <row r="18" spans="1:9" ht="15" customHeight="1" x14ac:dyDescent="0.2">
      <c r="A18" s="65" t="s">
        <v>53</v>
      </c>
      <c r="B18" s="65" t="s">
        <v>61</v>
      </c>
      <c r="C18" s="49">
        <v>0.71</v>
      </c>
      <c r="D18" s="31">
        <f>((D$3*GenEdTiming!B14)+(CURRENTMODEL!D$4*GenEdTiming!C14)+(CURRENTMODEL!D$5*GenEdTiming!D14))*C18</f>
        <v>1618.6321428571428</v>
      </c>
      <c r="E18" s="31">
        <f>1193/43</f>
        <v>27.744186046511629</v>
      </c>
      <c r="F18" s="33">
        <v>43</v>
      </c>
      <c r="G18" s="31"/>
      <c r="H18" s="31"/>
      <c r="I18" s="50"/>
    </row>
    <row r="19" spans="1:9" ht="17.25" customHeight="1" x14ac:dyDescent="0.2">
      <c r="A19" s="54" t="s">
        <v>64</v>
      </c>
      <c r="B19" s="39" t="s">
        <v>63</v>
      </c>
      <c r="C19" s="41">
        <v>0.73799999999999999</v>
      </c>
      <c r="D19" s="42">
        <f>D16+D17+D18</f>
        <v>5064.2793834435179</v>
      </c>
      <c r="E19" s="51">
        <v>22.3</v>
      </c>
      <c r="F19" s="44">
        <f>F16+F17+F18</f>
        <v>338</v>
      </c>
      <c r="G19" s="52">
        <f>D19/E19</f>
        <v>227.09773019926089</v>
      </c>
      <c r="H19" s="44">
        <f t="shared" ref="H19:H21" si="3">F19-G19</f>
        <v>110.90226980073911</v>
      </c>
      <c r="I19" s="19">
        <f>G19-(F19-H19)</f>
        <v>0</v>
      </c>
    </row>
    <row r="20" spans="1:9" ht="15" customHeight="1" x14ac:dyDescent="0.2">
      <c r="A20" s="27" t="s">
        <v>54</v>
      </c>
      <c r="B20" s="27" t="s">
        <v>2</v>
      </c>
      <c r="C20" s="46">
        <v>0.65</v>
      </c>
      <c r="D20" s="47">
        <f>((D$3*GenEdTiming!B15)+(CURRENTMODEL!D$4*GenEdTiming!C15)+(CURRENTMODEL!D$5*GenEdTiming!D15))*C20</f>
        <v>1570.0883587237711</v>
      </c>
      <c r="E20" s="27">
        <v>26.6</v>
      </c>
      <c r="F20" s="28">
        <v>127</v>
      </c>
      <c r="G20" s="47">
        <f t="shared" ref="G20" si="4">D20/E20</f>
        <v>59.025878147510191</v>
      </c>
      <c r="H20" s="28">
        <f t="shared" si="3"/>
        <v>67.974121852489816</v>
      </c>
      <c r="I20" s="28">
        <f>G20-(F20-H20)</f>
        <v>0</v>
      </c>
    </row>
    <row r="21" spans="1:9" ht="16" x14ac:dyDescent="0.2">
      <c r="A21" s="14" t="s">
        <v>55</v>
      </c>
      <c r="B21" s="14" t="s">
        <v>10</v>
      </c>
      <c r="C21" s="15">
        <v>0.81</v>
      </c>
      <c r="D21" s="17">
        <f>((D$3*GenEdTiming!B16)+(CURRENTMODEL!D$4*GenEdTiming!C16)+(CURRENTMODEL!D$5*GenEdTiming!D16))*C21</f>
        <v>1921.8707487783845</v>
      </c>
      <c r="E21" s="16">
        <f>2061/52</f>
        <v>39.634615384615387</v>
      </c>
      <c r="F21" s="18">
        <v>52</v>
      </c>
      <c r="G21" s="17">
        <f>D21/E21</f>
        <v>48.489703511147979</v>
      </c>
      <c r="H21" s="18">
        <f t="shared" si="3"/>
        <v>3.5102964888520205</v>
      </c>
      <c r="I21" s="19">
        <f>G21-(F21-H21)</f>
        <v>0</v>
      </c>
    </row>
    <row r="22" spans="1:9" ht="16" x14ac:dyDescent="0.2">
      <c r="A22" s="5" t="s">
        <v>19</v>
      </c>
      <c r="B22" s="5"/>
      <c r="C22" s="5"/>
      <c r="D22" s="5"/>
      <c r="E22" s="5"/>
      <c r="F22" s="5"/>
      <c r="G22" s="5"/>
      <c r="H22" s="5"/>
      <c r="I22" s="25">
        <f>SUM(I8:I21)</f>
        <v>5.7971014492764539E-2</v>
      </c>
    </row>
    <row r="23" spans="1:9" x14ac:dyDescent="0.2">
      <c r="A23" s="2"/>
      <c r="B23" s="2"/>
      <c r="C23" s="4"/>
      <c r="D23" s="4"/>
      <c r="E23" s="4"/>
      <c r="F23" s="4"/>
      <c r="G23" s="4"/>
      <c r="H23" s="4"/>
      <c r="I23" s="24"/>
    </row>
    <row r="24" spans="1:9" ht="15" customHeight="1" x14ac:dyDescent="0.2">
      <c r="A24" s="2"/>
      <c r="B24" s="2"/>
      <c r="C24" s="3"/>
      <c r="D24" s="4"/>
      <c r="E24" s="4"/>
      <c r="F24" s="4"/>
      <c r="G24" s="4"/>
      <c r="H24" s="4"/>
      <c r="I24" s="4"/>
    </row>
    <row r="25" spans="1:9" x14ac:dyDescent="0.2">
      <c r="A25" s="2"/>
      <c r="B25" s="2"/>
      <c r="C25" s="3"/>
      <c r="D25" s="4"/>
      <c r="E25" s="4"/>
      <c r="F25" s="4"/>
      <c r="G25" s="4"/>
      <c r="H25" s="4"/>
      <c r="I25" s="4"/>
    </row>
  </sheetData>
  <pageMargins left="0.7" right="0.7" top="0.75" bottom="0.75" header="0.3" footer="0.3"/>
  <pageSetup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27"/>
  <sheetViews>
    <sheetView tabSelected="1" topLeftCell="A2" workbookViewId="0">
      <selection activeCell="H19" sqref="H19"/>
    </sheetView>
  </sheetViews>
  <sheetFormatPr baseColWidth="10" defaultColWidth="8.83203125" defaultRowHeight="15" x14ac:dyDescent="0.2"/>
  <cols>
    <col min="1" max="1" width="30.6640625" customWidth="1"/>
    <col min="2" max="2" width="27.1640625" customWidth="1"/>
    <col min="3" max="3" width="22.33203125" customWidth="1"/>
    <col min="5" max="5" width="11.6640625" customWidth="1"/>
    <col min="7" max="7" width="11.33203125" customWidth="1"/>
    <col min="8" max="8" width="10.83203125" customWidth="1"/>
    <col min="9" max="9" width="11.33203125" customWidth="1"/>
  </cols>
  <sheetData>
    <row r="1" spans="1:10" ht="19" x14ac:dyDescent="0.25">
      <c r="A1" s="6" t="s">
        <v>18</v>
      </c>
    </row>
    <row r="2" spans="1:10" ht="19" x14ac:dyDescent="0.25">
      <c r="A2" s="6" t="s">
        <v>157</v>
      </c>
    </row>
    <row r="3" spans="1:10" hidden="1" x14ac:dyDescent="0.2">
      <c r="C3" t="s">
        <v>15</v>
      </c>
      <c r="D3">
        <v>2580</v>
      </c>
      <c r="G3" t="s">
        <v>14</v>
      </c>
    </row>
    <row r="4" spans="1:10" hidden="1" x14ac:dyDescent="0.2">
      <c r="C4" t="s">
        <v>33</v>
      </c>
      <c r="D4">
        <f>ROUND(D3*0.819,0)</f>
        <v>2113</v>
      </c>
    </row>
    <row r="5" spans="1:10" hidden="1" x14ac:dyDescent="0.2">
      <c r="C5" t="s">
        <v>34</v>
      </c>
      <c r="D5">
        <f>ROUND(D3*0.73,0)</f>
        <v>1883</v>
      </c>
    </row>
    <row r="7" spans="1:10" ht="61.5" customHeight="1" x14ac:dyDescent="0.2">
      <c r="A7" s="1" t="s">
        <v>11</v>
      </c>
      <c r="B7" s="1" t="s">
        <v>24</v>
      </c>
      <c r="C7" s="1" t="s">
        <v>151</v>
      </c>
      <c r="D7" s="1" t="s">
        <v>32</v>
      </c>
      <c r="E7" s="1" t="s">
        <v>20</v>
      </c>
      <c r="F7" s="1" t="s">
        <v>21</v>
      </c>
      <c r="G7" s="1" t="s">
        <v>12</v>
      </c>
      <c r="H7" s="1" t="s">
        <v>31</v>
      </c>
      <c r="I7" s="1" t="s">
        <v>67</v>
      </c>
      <c r="J7" s="1" t="s">
        <v>29</v>
      </c>
    </row>
    <row r="8" spans="1:10" ht="16" x14ac:dyDescent="0.2">
      <c r="A8" s="11" t="s">
        <v>66</v>
      </c>
      <c r="B8" s="14" t="s">
        <v>57</v>
      </c>
      <c r="C8" s="14" t="s">
        <v>8</v>
      </c>
      <c r="D8" s="15">
        <v>0.53</v>
      </c>
      <c r="E8" s="17">
        <f>((D$3*GenEdTiming!B5)+(MODEL2019!D$4*GenEdTiming!C5)+(MODEL2019!D$5*GenEdTiming!D5))*D8</f>
        <v>1367.4</v>
      </c>
      <c r="F8" s="20">
        <v>20.7</v>
      </c>
      <c r="G8" s="18">
        <v>66</v>
      </c>
      <c r="H8" s="18">
        <f t="shared" ref="H8:H12" si="0">E8/F8</f>
        <v>66.057971014492765</v>
      </c>
      <c r="I8" s="18">
        <v>0</v>
      </c>
      <c r="J8" s="26">
        <f>H8-(G8-I8)</f>
        <v>5.7971014492764539E-2</v>
      </c>
    </row>
    <row r="9" spans="1:10" ht="16" x14ac:dyDescent="0.2">
      <c r="A9" s="7" t="s">
        <v>1</v>
      </c>
      <c r="B9" s="61" t="s">
        <v>152</v>
      </c>
      <c r="C9" s="8" t="s">
        <v>60</v>
      </c>
      <c r="D9" s="62">
        <v>0.74</v>
      </c>
      <c r="E9" s="63">
        <f>((D$3*GenEdTiming!B7)+(MODEL2019!D$4*GenEdTiming!C7)+(MODEL2019!D$5*GenEdTiming!D7))*D9</f>
        <v>1892.3721787870077</v>
      </c>
      <c r="F9" s="58">
        <v>26.1</v>
      </c>
      <c r="G9" s="59">
        <v>138</v>
      </c>
      <c r="H9" s="59">
        <f t="shared" si="0"/>
        <v>72.504681179578839</v>
      </c>
      <c r="I9" s="59"/>
      <c r="J9" s="60"/>
    </row>
    <row r="10" spans="1:10" ht="60" x14ac:dyDescent="0.2">
      <c r="A10" s="9" t="s">
        <v>0</v>
      </c>
      <c r="B10" s="61" t="s">
        <v>161</v>
      </c>
      <c r="C10" s="10" t="s">
        <v>150</v>
      </c>
      <c r="D10" s="30">
        <v>0.8</v>
      </c>
      <c r="E10" s="31">
        <f>((D$3*GenEdTiming!B9)+(MODEL2019!D$4*GenEdTiming!C9)+(MODEL2019!D$5*GenEdTiming!D9))*D10</f>
        <v>1939.9242311008911</v>
      </c>
      <c r="F10" s="32">
        <v>20</v>
      </c>
      <c r="G10" s="33">
        <f>214+77</f>
        <v>291</v>
      </c>
      <c r="H10" s="33">
        <f t="shared" si="0"/>
        <v>96.996211555044553</v>
      </c>
      <c r="I10" s="33"/>
      <c r="J10" s="38"/>
    </row>
    <row r="11" spans="1:10" ht="45" x14ac:dyDescent="0.2">
      <c r="A11" s="9" t="s">
        <v>3</v>
      </c>
      <c r="B11" s="29" t="s">
        <v>49</v>
      </c>
      <c r="C11" s="23" t="s">
        <v>153</v>
      </c>
      <c r="D11" s="30">
        <v>0.63</v>
      </c>
      <c r="E11" s="31">
        <f>((D$3*GenEdTiming!B10)+(MODEL2019!D$4*GenEdTiming!C10)+(MODEL2019!D$5*GenEdTiming!D10))*D11</f>
        <v>1510.6852213279678</v>
      </c>
      <c r="F11" s="32">
        <v>37.4</v>
      </c>
      <c r="G11" s="33">
        <f>101*0.67</f>
        <v>67.67</v>
      </c>
      <c r="H11" s="33">
        <f t="shared" si="0"/>
        <v>40.392652976683635</v>
      </c>
      <c r="I11" s="33"/>
      <c r="J11" s="38"/>
    </row>
    <row r="12" spans="1:10" ht="44.25" customHeight="1" x14ac:dyDescent="0.2">
      <c r="A12" s="9" t="s">
        <v>4</v>
      </c>
      <c r="B12" s="34" t="s">
        <v>156</v>
      </c>
      <c r="C12" s="23" t="s">
        <v>154</v>
      </c>
      <c r="D12" s="30">
        <v>0.7</v>
      </c>
      <c r="E12" s="31">
        <f>((D$3*GenEdTiming!B11)+(MODEL2019!D$4*GenEdTiming!C11)+(MODEL2019!D$5*GenEdTiming!D11))*D12</f>
        <v>1474.3471830985916</v>
      </c>
      <c r="F12" s="32">
        <v>37.4</v>
      </c>
      <c r="G12" s="33">
        <f>101*0.33</f>
        <v>33.33</v>
      </c>
      <c r="H12" s="33">
        <f t="shared" si="0"/>
        <v>39.421047676432934</v>
      </c>
      <c r="I12" s="33"/>
      <c r="J12" s="38"/>
    </row>
    <row r="13" spans="1:10" ht="18" customHeight="1" x14ac:dyDescent="0.2">
      <c r="A13" s="64" t="s">
        <v>13</v>
      </c>
      <c r="B13" s="39" t="s">
        <v>155</v>
      </c>
      <c r="C13" s="40" t="s">
        <v>63</v>
      </c>
      <c r="D13" s="41">
        <v>0.7</v>
      </c>
      <c r="E13" s="42">
        <f>SUM(E9:E12)</f>
        <v>6817.3288143144582</v>
      </c>
      <c r="F13" s="43">
        <v>29.3</v>
      </c>
      <c r="G13" s="44">
        <f>SUM(G9:G12)</f>
        <v>530</v>
      </c>
      <c r="H13" s="44">
        <f>SUM(H9:H12)</f>
        <v>249.31459338773993</v>
      </c>
      <c r="I13" s="44">
        <v>180</v>
      </c>
      <c r="J13" s="19">
        <f>H13-(G13-I13)</f>
        <v>-100.68540661226007</v>
      </c>
    </row>
    <row r="14" spans="1:10" ht="17.25" customHeight="1" x14ac:dyDescent="0.2">
      <c r="A14" s="9" t="s">
        <v>5</v>
      </c>
      <c r="B14" s="48" t="s">
        <v>51</v>
      </c>
      <c r="C14" s="48" t="s">
        <v>9</v>
      </c>
      <c r="D14" s="49">
        <v>0.75</v>
      </c>
      <c r="E14" s="31">
        <f>((D$3*GenEdTiming!B12)+(MODEL2019!D$4*GenEdTiming!C12)+(MODEL2019!D$5*GenEdTiming!D12))*D14</f>
        <v>1808.0550086231674</v>
      </c>
      <c r="F14" s="31">
        <f>6339/295</f>
        <v>21.488135593220338</v>
      </c>
      <c r="G14" s="33">
        <v>295</v>
      </c>
      <c r="H14" s="31"/>
      <c r="I14" s="31"/>
      <c r="J14" s="50"/>
    </row>
    <row r="15" spans="1:10" ht="27.75" customHeight="1" x14ac:dyDescent="0.2">
      <c r="A15" s="9" t="s">
        <v>6</v>
      </c>
      <c r="B15" s="48" t="s">
        <v>72</v>
      </c>
      <c r="C15" s="56" t="s">
        <v>73</v>
      </c>
      <c r="D15" s="49">
        <v>0.71</v>
      </c>
      <c r="E15" s="31">
        <f>((D$3*GenEdTiming!B14)+(MODEL2019!D$4*GenEdTiming!C14)+(MODEL2019!D$5*GenEdTiming!D14))*D15</f>
        <v>1618.6321428571428</v>
      </c>
      <c r="F15" s="31">
        <f>1193/43</f>
        <v>27.744186046511629</v>
      </c>
      <c r="G15" s="33">
        <v>43</v>
      </c>
      <c r="H15" s="31"/>
      <c r="I15" s="31"/>
      <c r="J15" s="50"/>
    </row>
    <row r="16" spans="1:10" ht="19.5" customHeight="1" x14ac:dyDescent="0.2">
      <c r="A16" s="57" t="s">
        <v>71</v>
      </c>
      <c r="B16" s="39" t="s">
        <v>64</v>
      </c>
      <c r="C16" s="39" t="s">
        <v>63</v>
      </c>
      <c r="D16" s="41">
        <v>0.73799999999999999</v>
      </c>
      <c r="E16" s="42">
        <v>3426.6871514803101</v>
      </c>
      <c r="F16" s="51">
        <v>22.3</v>
      </c>
      <c r="G16" s="44">
        <v>338</v>
      </c>
      <c r="H16" s="52">
        <v>153.66310096324261</v>
      </c>
      <c r="I16" s="44">
        <v>110.90226980073911</v>
      </c>
      <c r="J16" s="19">
        <f t="shared" ref="J16:J21" si="1">H16-(G16-I16)</f>
        <v>-73.434629236018282</v>
      </c>
    </row>
    <row r="17" spans="1:10" ht="15" customHeight="1" x14ac:dyDescent="0.2">
      <c r="A17" s="11" t="s">
        <v>68</v>
      </c>
      <c r="B17" s="27" t="s">
        <v>54</v>
      </c>
      <c r="C17" s="27" t="s">
        <v>2</v>
      </c>
      <c r="D17" s="46">
        <v>0.65</v>
      </c>
      <c r="E17" s="47">
        <f>((D$3*GenEdTiming!B15)+(MODEL2019!D$4*GenEdTiming!C15)+(MODEL2019!D$5*GenEdTiming!D15))*D17</f>
        <v>1570.0883587237711</v>
      </c>
      <c r="F17" s="27">
        <v>26.6</v>
      </c>
      <c r="G17" s="28">
        <v>127</v>
      </c>
      <c r="H17" s="18">
        <f t="shared" ref="H17" si="2">E17/F17</f>
        <v>59.025878147510191</v>
      </c>
      <c r="I17" s="28">
        <v>67.974121852489816</v>
      </c>
      <c r="J17" s="28">
        <f t="shared" si="1"/>
        <v>0</v>
      </c>
    </row>
    <row r="18" spans="1:10" ht="16" x14ac:dyDescent="0.2">
      <c r="A18" s="11" t="s">
        <v>7</v>
      </c>
      <c r="B18" s="14" t="s">
        <v>55</v>
      </c>
      <c r="C18" s="14" t="s">
        <v>10</v>
      </c>
      <c r="D18" s="15">
        <v>0.81</v>
      </c>
      <c r="E18" s="17">
        <f>((D$3*GenEdTiming!B16)+(MODEL2019!D$4*GenEdTiming!C16)+(MODEL2019!D$5*GenEdTiming!D16))*D18</f>
        <v>1921.8707487783845</v>
      </c>
      <c r="F18" s="16">
        <f>2061/52</f>
        <v>39.634615384615387</v>
      </c>
      <c r="G18" s="18">
        <v>52</v>
      </c>
      <c r="H18" s="18">
        <f>E18/F18</f>
        <v>48.489703511147979</v>
      </c>
      <c r="I18" s="18">
        <v>3.5102964888520205</v>
      </c>
      <c r="J18" s="19">
        <f t="shared" si="1"/>
        <v>0</v>
      </c>
    </row>
    <row r="19" spans="1:10" ht="16" x14ac:dyDescent="0.2">
      <c r="A19" s="11" t="s">
        <v>30</v>
      </c>
      <c r="B19" s="14" t="s">
        <v>69</v>
      </c>
      <c r="C19" s="14" t="s">
        <v>69</v>
      </c>
      <c r="D19" s="15">
        <v>1</v>
      </c>
      <c r="E19" s="17">
        <f>((D$3*GenEdTiming!B17)+(MODEL2019!D$4*GenEdTiming!C17)+(MODEL2019!D$5*GenEdTiming!D17))*D19</f>
        <v>2580</v>
      </c>
      <c r="F19" s="16">
        <v>20</v>
      </c>
      <c r="G19" s="18">
        <v>0</v>
      </c>
      <c r="H19" s="18">
        <f t="shared" ref="H19" si="3">E19/F19</f>
        <v>129</v>
      </c>
      <c r="I19" s="18">
        <v>0</v>
      </c>
      <c r="J19" s="18">
        <f t="shared" si="1"/>
        <v>129</v>
      </c>
    </row>
    <row r="20" spans="1:10" ht="16" x14ac:dyDescent="0.2">
      <c r="A20" s="11" t="s">
        <v>144</v>
      </c>
      <c r="B20" s="14" t="s">
        <v>69</v>
      </c>
      <c r="C20" s="14" t="s">
        <v>141</v>
      </c>
      <c r="D20" s="15">
        <v>1</v>
      </c>
      <c r="E20" s="17">
        <f>((D$3*GenEdTiming!B$17)+(MODEL2019!D$4*GenEdTiming!C$17)+(MODEL2019!D$5*GenEdTiming!D$17))*D20</f>
        <v>2580</v>
      </c>
      <c r="F20" s="18" t="s">
        <v>142</v>
      </c>
      <c r="G20" s="18">
        <v>0</v>
      </c>
      <c r="H20" s="18">
        <v>0</v>
      </c>
      <c r="I20" s="18">
        <v>0</v>
      </c>
      <c r="J20" s="18">
        <f t="shared" si="1"/>
        <v>0</v>
      </c>
    </row>
    <row r="21" spans="1:10" ht="15" customHeight="1" x14ac:dyDescent="0.2">
      <c r="A21" s="11" t="s">
        <v>140</v>
      </c>
      <c r="B21" s="14" t="s">
        <v>69</v>
      </c>
      <c r="C21" s="14" t="s">
        <v>141</v>
      </c>
      <c r="D21" s="15">
        <v>1</v>
      </c>
      <c r="E21" s="17">
        <f>((D$3*GenEdTiming!B$17)+(MODEL2019!D$4*GenEdTiming!C$17)+(MODEL2019!D$5*GenEdTiming!D$17))*D21</f>
        <v>2580</v>
      </c>
      <c r="F21" s="18" t="s">
        <v>142</v>
      </c>
      <c r="G21" s="18">
        <v>0</v>
      </c>
      <c r="H21" s="18">
        <v>0</v>
      </c>
      <c r="I21" s="18">
        <v>0</v>
      </c>
      <c r="J21" s="18">
        <f t="shared" si="1"/>
        <v>0</v>
      </c>
    </row>
    <row r="22" spans="1:10" ht="16" x14ac:dyDescent="0.2">
      <c r="A22" s="11" t="s">
        <v>143</v>
      </c>
      <c r="B22" s="14" t="s">
        <v>69</v>
      </c>
      <c r="C22" s="14" t="s">
        <v>141</v>
      </c>
      <c r="D22" s="15">
        <v>1</v>
      </c>
      <c r="E22" s="17">
        <f>((D$3*GenEdTiming!B$17)+(MODEL2019!D$4*GenEdTiming!C$17)+(MODEL2019!D$5*GenEdTiming!D$17))*D22</f>
        <v>2580</v>
      </c>
      <c r="F22" s="18" t="s">
        <v>142</v>
      </c>
      <c r="G22" s="18">
        <v>0</v>
      </c>
      <c r="H22" s="18">
        <v>0</v>
      </c>
      <c r="I22" s="18">
        <v>0</v>
      </c>
      <c r="J22" s="18">
        <f t="shared" ref="J22" si="4">H22-(G22-I22)</f>
        <v>0</v>
      </c>
    </row>
    <row r="23" spans="1:10" ht="16" x14ac:dyDescent="0.2">
      <c r="A23" s="11" t="s">
        <v>145</v>
      </c>
      <c r="B23" s="14" t="s">
        <v>69</v>
      </c>
      <c r="C23" s="14" t="s">
        <v>146</v>
      </c>
      <c r="D23" s="15">
        <v>1</v>
      </c>
      <c r="E23" s="17">
        <v>203</v>
      </c>
      <c r="F23" s="18">
        <v>15</v>
      </c>
      <c r="G23" s="18">
        <v>0</v>
      </c>
      <c r="H23" s="18">
        <f t="shared" ref="H23" si="5">E23/F23</f>
        <v>13.533333333333333</v>
      </c>
      <c r="I23" s="18">
        <v>0</v>
      </c>
      <c r="J23" s="18">
        <f>H23-(G23-I23)</f>
        <v>13.533333333333333</v>
      </c>
    </row>
    <row r="24" spans="1:10" ht="16" x14ac:dyDescent="0.2">
      <c r="A24" s="5" t="s">
        <v>19</v>
      </c>
      <c r="B24" s="5"/>
      <c r="C24" s="5"/>
      <c r="D24" s="5"/>
      <c r="E24" s="5"/>
      <c r="F24" s="5"/>
      <c r="G24" s="5"/>
      <c r="H24" s="5"/>
      <c r="I24" s="5"/>
      <c r="J24" s="55">
        <f>SUM(J8:J23)</f>
        <v>-31.528731500452267</v>
      </c>
    </row>
    <row r="25" spans="1:10" x14ac:dyDescent="0.2">
      <c r="A25" s="2"/>
      <c r="B25" s="2"/>
      <c r="C25" s="4"/>
      <c r="D25" s="4"/>
      <c r="E25" s="4"/>
      <c r="F25" s="4"/>
      <c r="G25" s="4"/>
      <c r="H25" s="4"/>
      <c r="I25" s="24"/>
    </row>
    <row r="26" spans="1:10" ht="15" customHeight="1" x14ac:dyDescent="0.2">
      <c r="A26" s="2"/>
      <c r="B26" s="2"/>
      <c r="C26" s="3"/>
      <c r="D26" s="4"/>
      <c r="E26" s="4"/>
      <c r="F26" s="4"/>
      <c r="G26" s="4"/>
      <c r="H26" s="4"/>
      <c r="I26" s="4"/>
    </row>
    <row r="27" spans="1:10" x14ac:dyDescent="0.2">
      <c r="A27" s="2"/>
      <c r="B27" s="2"/>
      <c r="C27" s="3"/>
      <c r="D27" s="4"/>
      <c r="E27" s="4"/>
      <c r="F27" s="4"/>
      <c r="G27" s="4"/>
      <c r="H27" s="4"/>
      <c r="I27" s="4"/>
    </row>
  </sheetData>
  <pageMargins left="0.7" right="0.7" top="0.75" bottom="0.75" header="0.3" footer="0.3"/>
  <pageSetup scale="8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D17"/>
  <sheetViews>
    <sheetView workbookViewId="0">
      <selection activeCell="A3" sqref="A3"/>
    </sheetView>
  </sheetViews>
  <sheetFormatPr baseColWidth="10" defaultColWidth="8.83203125" defaultRowHeight="15" x14ac:dyDescent="0.2"/>
  <sheetData>
    <row r="1" spans="1:4" ht="19" x14ac:dyDescent="0.25">
      <c r="A1" s="6" t="s">
        <v>147</v>
      </c>
    </row>
    <row r="2" spans="1:4" ht="19" x14ac:dyDescent="0.25">
      <c r="A2" s="6" t="s">
        <v>148</v>
      </c>
    </row>
    <row r="4" spans="1:4" x14ac:dyDescent="0.2">
      <c r="B4" t="s">
        <v>35</v>
      </c>
      <c r="C4" t="s">
        <v>33</v>
      </c>
      <c r="D4" t="s">
        <v>36</v>
      </c>
    </row>
    <row r="5" spans="1:4" x14ac:dyDescent="0.2">
      <c r="A5" t="s">
        <v>25</v>
      </c>
      <c r="B5" s="12">
        <v>1</v>
      </c>
      <c r="C5" s="12">
        <v>0</v>
      </c>
      <c r="D5" s="12">
        <v>0</v>
      </c>
    </row>
    <row r="6" spans="1:4" x14ac:dyDescent="0.2">
      <c r="A6" t="s">
        <v>28</v>
      </c>
      <c r="B6" s="12">
        <v>0.18223627479160678</v>
      </c>
      <c r="C6" s="12">
        <v>0.58499999999999996</v>
      </c>
      <c r="D6" s="12">
        <v>0.23300000000000001</v>
      </c>
    </row>
    <row r="7" spans="1:4" x14ac:dyDescent="0.2">
      <c r="A7" t="s">
        <v>37</v>
      </c>
      <c r="B7" s="12">
        <v>0.96248922104052892</v>
      </c>
      <c r="C7" s="12">
        <v>1.480310434032768E-2</v>
      </c>
      <c r="D7" s="12">
        <v>2.2707674619143432E-2</v>
      </c>
    </row>
    <row r="8" spans="1:4" x14ac:dyDescent="0.2">
      <c r="A8" t="s">
        <v>38</v>
      </c>
      <c r="B8" s="12">
        <v>0.19588962345501582</v>
      </c>
      <c r="C8" s="12">
        <v>0.69747053751077892</v>
      </c>
      <c r="D8" s="12">
        <v>0.10663983903420524</v>
      </c>
    </row>
    <row r="9" spans="1:4" x14ac:dyDescent="0.2">
      <c r="A9" t="s">
        <v>39</v>
      </c>
      <c r="B9" s="12">
        <v>0.6885599310146594</v>
      </c>
      <c r="C9" s="12">
        <v>0.2694739867778097</v>
      </c>
      <c r="D9" s="12">
        <v>4.1966082207530897E-2</v>
      </c>
    </row>
    <row r="10" spans="1:4" x14ac:dyDescent="0.2">
      <c r="A10" t="s">
        <v>40</v>
      </c>
      <c r="B10" s="12">
        <v>0.69057200344926706</v>
      </c>
      <c r="C10" s="12">
        <v>0.14601897096866917</v>
      </c>
      <c r="D10" s="12">
        <v>0.1634090255820638</v>
      </c>
    </row>
    <row r="11" spans="1:4" x14ac:dyDescent="0.2">
      <c r="A11" t="s">
        <v>41</v>
      </c>
      <c r="B11" s="12">
        <v>0.15392354124748492</v>
      </c>
      <c r="C11" s="12">
        <v>0.50402414486921532</v>
      </c>
      <c r="D11" s="12">
        <v>0.34205231388329982</v>
      </c>
    </row>
    <row r="12" spans="1:4" x14ac:dyDescent="0.2">
      <c r="A12" t="s">
        <v>42</v>
      </c>
      <c r="B12" s="12">
        <v>0.63883299798792759</v>
      </c>
      <c r="C12" s="12">
        <v>0.35858005173900548</v>
      </c>
      <c r="D12" s="12">
        <v>2.5869502730669733E-3</v>
      </c>
    </row>
    <row r="13" spans="1:4" x14ac:dyDescent="0.2">
      <c r="A13" t="s">
        <v>43</v>
      </c>
      <c r="B13" s="12">
        <v>0.2665995975855131</v>
      </c>
      <c r="C13" s="12">
        <v>0.49841908594423684</v>
      </c>
      <c r="D13" s="12">
        <v>0.23498131647025008</v>
      </c>
    </row>
    <row r="14" spans="1:4" x14ac:dyDescent="0.2">
      <c r="A14" t="s">
        <v>27</v>
      </c>
      <c r="B14" s="12">
        <v>0.45314745616556484</v>
      </c>
      <c r="C14" s="12">
        <v>0.35182523713710834</v>
      </c>
      <c r="D14" s="12">
        <v>0.19502730669732682</v>
      </c>
    </row>
    <row r="15" spans="1:4" x14ac:dyDescent="0.2">
      <c r="A15" t="s">
        <v>26</v>
      </c>
      <c r="B15" s="12">
        <v>0.65593561368209252</v>
      </c>
      <c r="C15" s="12">
        <v>0.32753664846220176</v>
      </c>
      <c r="D15" s="12">
        <v>1.6527737855705663E-2</v>
      </c>
    </row>
    <row r="16" spans="1:4" x14ac:dyDescent="0.2">
      <c r="A16" s="13">
        <v>5</v>
      </c>
      <c r="B16" s="12">
        <v>0.59916642713423396</v>
      </c>
      <c r="C16" s="12">
        <v>0.31330842196033343</v>
      </c>
      <c r="D16" s="12">
        <v>8.75251509054326E-2</v>
      </c>
    </row>
    <row r="17" spans="1:4" x14ac:dyDescent="0.2">
      <c r="A17" t="s">
        <v>70</v>
      </c>
      <c r="B17" s="12">
        <v>1</v>
      </c>
      <c r="C17" s="12">
        <v>0</v>
      </c>
      <c r="D17" s="12">
        <v>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43"/>
  <sheetViews>
    <sheetView workbookViewId="0">
      <selection activeCell="D27" sqref="D27"/>
    </sheetView>
  </sheetViews>
  <sheetFormatPr baseColWidth="10" defaultColWidth="8.83203125" defaultRowHeight="15" x14ac:dyDescent="0.2"/>
  <cols>
    <col min="1" max="1" width="16" bestFit="1" customWidth="1"/>
    <col min="2" max="2" width="18.83203125" bestFit="1" customWidth="1"/>
    <col min="3" max="3" width="14.5" style="68" bestFit="1" customWidth="1"/>
  </cols>
  <sheetData>
    <row r="1" spans="1:4" x14ac:dyDescent="0.2">
      <c r="A1" s="70" t="s">
        <v>74</v>
      </c>
      <c r="B1" s="70" t="s">
        <v>75</v>
      </c>
      <c r="C1" s="71" t="s">
        <v>114</v>
      </c>
      <c r="D1" s="70" t="s">
        <v>116</v>
      </c>
    </row>
    <row r="2" spans="1:4" x14ac:dyDescent="0.2">
      <c r="A2" t="s">
        <v>76</v>
      </c>
      <c r="B2">
        <v>236</v>
      </c>
      <c r="C2" s="67" t="s">
        <v>115</v>
      </c>
      <c r="D2" t="s">
        <v>117</v>
      </c>
    </row>
    <row r="3" spans="1:4" x14ac:dyDescent="0.2">
      <c r="A3" t="s">
        <v>77</v>
      </c>
      <c r="B3">
        <v>18</v>
      </c>
      <c r="C3" s="67" t="s">
        <v>115</v>
      </c>
      <c r="D3" t="s">
        <v>118</v>
      </c>
    </row>
    <row r="4" spans="1:4" x14ac:dyDescent="0.2">
      <c r="A4" t="s">
        <v>78</v>
      </c>
      <c r="B4">
        <v>158</v>
      </c>
      <c r="C4" s="67" t="s">
        <v>115</v>
      </c>
      <c r="D4" t="s">
        <v>118</v>
      </c>
    </row>
    <row r="5" spans="1:4" x14ac:dyDescent="0.2">
      <c r="A5" t="s">
        <v>79</v>
      </c>
      <c r="B5" s="69">
        <v>488</v>
      </c>
      <c r="C5" s="67" t="s">
        <v>119</v>
      </c>
    </row>
    <row r="6" spans="1:4" x14ac:dyDescent="0.2">
      <c r="A6" t="s">
        <v>80</v>
      </c>
      <c r="B6">
        <v>113</v>
      </c>
      <c r="C6" s="67" t="s">
        <v>115</v>
      </c>
      <c r="D6" t="s">
        <v>120</v>
      </c>
    </row>
    <row r="7" spans="1:4" x14ac:dyDescent="0.2">
      <c r="A7" t="s">
        <v>81</v>
      </c>
      <c r="B7">
        <v>489</v>
      </c>
      <c r="C7" s="67" t="s">
        <v>115</v>
      </c>
      <c r="D7" t="s">
        <v>127</v>
      </c>
    </row>
    <row r="8" spans="1:4" x14ac:dyDescent="0.2">
      <c r="A8" t="s">
        <v>82</v>
      </c>
      <c r="B8">
        <v>117</v>
      </c>
      <c r="C8" s="67" t="s">
        <v>115</v>
      </c>
      <c r="D8" t="s">
        <v>117</v>
      </c>
    </row>
    <row r="9" spans="1:4" x14ac:dyDescent="0.2">
      <c r="A9" t="s">
        <v>83</v>
      </c>
      <c r="B9" s="66">
        <v>218</v>
      </c>
      <c r="C9" s="67" t="s">
        <v>137</v>
      </c>
      <c r="D9" t="s">
        <v>121</v>
      </c>
    </row>
    <row r="10" spans="1:4" x14ac:dyDescent="0.2">
      <c r="A10" t="s">
        <v>84</v>
      </c>
      <c r="B10">
        <v>67</v>
      </c>
      <c r="C10" s="67" t="s">
        <v>115</v>
      </c>
      <c r="D10" t="s">
        <v>122</v>
      </c>
    </row>
    <row r="11" spans="1:4" x14ac:dyDescent="0.2">
      <c r="A11" t="s">
        <v>85</v>
      </c>
      <c r="B11">
        <v>180</v>
      </c>
      <c r="C11" s="67" t="s">
        <v>115</v>
      </c>
      <c r="D11" t="s">
        <v>123</v>
      </c>
    </row>
    <row r="12" spans="1:4" x14ac:dyDescent="0.2">
      <c r="A12" t="s">
        <v>86</v>
      </c>
      <c r="B12">
        <v>42</v>
      </c>
      <c r="C12" s="67" t="s">
        <v>115</v>
      </c>
      <c r="D12" t="s">
        <v>124</v>
      </c>
    </row>
    <row r="13" spans="1:4" x14ac:dyDescent="0.2">
      <c r="A13" t="s">
        <v>87</v>
      </c>
      <c r="B13" s="69">
        <v>40</v>
      </c>
      <c r="C13" s="67" t="s">
        <v>119</v>
      </c>
    </row>
    <row r="14" spans="1:4" x14ac:dyDescent="0.2">
      <c r="A14" t="s">
        <v>88</v>
      </c>
      <c r="B14">
        <v>348</v>
      </c>
      <c r="C14" s="67" t="s">
        <v>115</v>
      </c>
      <c r="D14" t="s">
        <v>123</v>
      </c>
    </row>
    <row r="15" spans="1:4" x14ac:dyDescent="0.2">
      <c r="A15" t="s">
        <v>89</v>
      </c>
      <c r="B15" s="69">
        <v>141</v>
      </c>
      <c r="C15" s="67" t="s">
        <v>119</v>
      </c>
    </row>
    <row r="16" spans="1:4" x14ac:dyDescent="0.2">
      <c r="A16" t="s">
        <v>90</v>
      </c>
      <c r="B16">
        <v>170</v>
      </c>
      <c r="C16" s="67" t="s">
        <v>115</v>
      </c>
      <c r="D16" t="s">
        <v>125</v>
      </c>
    </row>
    <row r="17" spans="1:4" x14ac:dyDescent="0.2">
      <c r="A17" t="s">
        <v>91</v>
      </c>
      <c r="B17">
        <v>529</v>
      </c>
      <c r="C17" s="67" t="s">
        <v>115</v>
      </c>
      <c r="D17" t="s">
        <v>126</v>
      </c>
    </row>
    <row r="18" spans="1:4" x14ac:dyDescent="0.2">
      <c r="A18" t="s">
        <v>92</v>
      </c>
      <c r="B18">
        <v>262</v>
      </c>
      <c r="C18" s="67" t="s">
        <v>115</v>
      </c>
      <c r="D18" t="s">
        <v>117</v>
      </c>
    </row>
    <row r="19" spans="1:4" x14ac:dyDescent="0.2">
      <c r="A19" t="s">
        <v>93</v>
      </c>
      <c r="B19">
        <v>8</v>
      </c>
      <c r="C19" s="67" t="s">
        <v>115</v>
      </c>
      <c r="D19" t="s">
        <v>128</v>
      </c>
    </row>
    <row r="20" spans="1:4" x14ac:dyDescent="0.2">
      <c r="A20" t="s">
        <v>94</v>
      </c>
      <c r="B20">
        <v>84</v>
      </c>
      <c r="C20" s="67" t="s">
        <v>115</v>
      </c>
      <c r="D20" t="s">
        <v>124</v>
      </c>
    </row>
    <row r="21" spans="1:4" x14ac:dyDescent="0.2">
      <c r="A21" t="s">
        <v>60</v>
      </c>
      <c r="B21">
        <v>121</v>
      </c>
      <c r="C21" s="67" t="s">
        <v>115</v>
      </c>
      <c r="D21" t="s">
        <v>129</v>
      </c>
    </row>
    <row r="22" spans="1:4" x14ac:dyDescent="0.2">
      <c r="A22" t="s">
        <v>95</v>
      </c>
      <c r="B22">
        <v>183</v>
      </c>
      <c r="C22" s="67" t="s">
        <v>115</v>
      </c>
      <c r="D22" t="s">
        <v>117</v>
      </c>
    </row>
    <row r="23" spans="1:4" x14ac:dyDescent="0.2">
      <c r="A23" t="s">
        <v>96</v>
      </c>
      <c r="B23">
        <v>36</v>
      </c>
      <c r="C23" s="67" t="s">
        <v>115</v>
      </c>
      <c r="D23" t="s">
        <v>130</v>
      </c>
    </row>
    <row r="24" spans="1:4" x14ac:dyDescent="0.2">
      <c r="A24" t="s">
        <v>97</v>
      </c>
      <c r="B24">
        <v>48</v>
      </c>
      <c r="C24" s="67" t="s">
        <v>115</v>
      </c>
      <c r="D24" t="s">
        <v>128</v>
      </c>
    </row>
    <row r="25" spans="1:4" x14ac:dyDescent="0.2">
      <c r="A25" t="s">
        <v>98</v>
      </c>
      <c r="B25">
        <v>368</v>
      </c>
      <c r="C25" s="67" t="s">
        <v>115</v>
      </c>
      <c r="D25" t="s">
        <v>117</v>
      </c>
    </row>
    <row r="26" spans="1:4" x14ac:dyDescent="0.2">
      <c r="A26" t="s">
        <v>99</v>
      </c>
      <c r="B26">
        <v>344</v>
      </c>
      <c r="C26" s="67" t="s">
        <v>115</v>
      </c>
      <c r="D26" t="s">
        <v>117</v>
      </c>
    </row>
    <row r="27" spans="1:4" x14ac:dyDescent="0.2">
      <c r="A27" t="s">
        <v>2</v>
      </c>
      <c r="B27" s="66">
        <v>114</v>
      </c>
      <c r="C27" s="67" t="s">
        <v>115</v>
      </c>
      <c r="D27" t="s">
        <v>149</v>
      </c>
    </row>
    <row r="28" spans="1:4" x14ac:dyDescent="0.2">
      <c r="A28" t="s">
        <v>100</v>
      </c>
      <c r="B28">
        <v>67</v>
      </c>
      <c r="C28" s="67" t="s">
        <v>115</v>
      </c>
      <c r="D28" t="s">
        <v>131</v>
      </c>
    </row>
    <row r="29" spans="1:4" x14ac:dyDescent="0.2">
      <c r="A29" t="s">
        <v>101</v>
      </c>
      <c r="B29">
        <v>67</v>
      </c>
      <c r="C29" s="67" t="s">
        <v>115</v>
      </c>
      <c r="D29" t="s">
        <v>132</v>
      </c>
    </row>
    <row r="30" spans="1:4" x14ac:dyDescent="0.2">
      <c r="A30" t="s">
        <v>102</v>
      </c>
      <c r="B30">
        <v>539</v>
      </c>
      <c r="C30" s="67" t="s">
        <v>115</v>
      </c>
      <c r="D30" t="s">
        <v>125</v>
      </c>
    </row>
    <row r="31" spans="1:4" x14ac:dyDescent="0.2">
      <c r="A31" t="s">
        <v>103</v>
      </c>
      <c r="B31">
        <v>22</v>
      </c>
      <c r="C31" s="67" t="s">
        <v>115</v>
      </c>
      <c r="D31" t="s">
        <v>125</v>
      </c>
    </row>
    <row r="32" spans="1:4" x14ac:dyDescent="0.2">
      <c r="A32" t="s">
        <v>104</v>
      </c>
      <c r="B32">
        <v>94</v>
      </c>
      <c r="C32" s="67" t="s">
        <v>115</v>
      </c>
      <c r="D32" t="s">
        <v>117</v>
      </c>
    </row>
    <row r="33" spans="1:4" x14ac:dyDescent="0.2">
      <c r="A33" t="s">
        <v>105</v>
      </c>
      <c r="B33">
        <v>84</v>
      </c>
      <c r="C33" s="67" t="s">
        <v>115</v>
      </c>
      <c r="D33" t="s">
        <v>125</v>
      </c>
    </row>
    <row r="34" spans="1:4" x14ac:dyDescent="0.2">
      <c r="A34" t="s">
        <v>106</v>
      </c>
      <c r="B34" s="69">
        <v>143</v>
      </c>
      <c r="C34" s="67" t="s">
        <v>119</v>
      </c>
    </row>
    <row r="35" spans="1:4" x14ac:dyDescent="0.2">
      <c r="A35" t="s">
        <v>107</v>
      </c>
      <c r="B35">
        <v>428</v>
      </c>
      <c r="C35" s="67" t="s">
        <v>137</v>
      </c>
      <c r="D35" t="s">
        <v>133</v>
      </c>
    </row>
    <row r="36" spans="1:4" x14ac:dyDescent="0.2">
      <c r="A36" t="s">
        <v>108</v>
      </c>
      <c r="B36">
        <v>79</v>
      </c>
      <c r="C36" s="67" t="s">
        <v>115</v>
      </c>
      <c r="D36" t="s">
        <v>123</v>
      </c>
    </row>
    <row r="37" spans="1:4" x14ac:dyDescent="0.2">
      <c r="A37" t="s">
        <v>109</v>
      </c>
      <c r="B37">
        <v>366</v>
      </c>
      <c r="C37" s="67" t="s">
        <v>115</v>
      </c>
      <c r="D37" t="s">
        <v>134</v>
      </c>
    </row>
    <row r="38" spans="1:4" x14ac:dyDescent="0.2">
      <c r="A38" t="s">
        <v>110</v>
      </c>
      <c r="B38">
        <v>60</v>
      </c>
      <c r="C38" s="67" t="s">
        <v>115</v>
      </c>
      <c r="D38" t="s">
        <v>135</v>
      </c>
    </row>
    <row r="39" spans="1:4" x14ac:dyDescent="0.2">
      <c r="A39" t="s">
        <v>111</v>
      </c>
      <c r="B39">
        <v>29</v>
      </c>
      <c r="C39" s="67" t="s">
        <v>115</v>
      </c>
      <c r="D39" t="s">
        <v>128</v>
      </c>
    </row>
    <row r="40" spans="1:4" x14ac:dyDescent="0.2">
      <c r="A40" t="s">
        <v>112</v>
      </c>
      <c r="B40">
        <v>43</v>
      </c>
      <c r="C40" s="67" t="s">
        <v>115</v>
      </c>
      <c r="D40" t="s">
        <v>136</v>
      </c>
    </row>
    <row r="41" spans="1:4" x14ac:dyDescent="0.2">
      <c r="A41" t="s">
        <v>113</v>
      </c>
      <c r="B41">
        <v>15</v>
      </c>
      <c r="C41" s="67" t="s">
        <v>115</v>
      </c>
      <c r="D41" t="s">
        <v>124</v>
      </c>
    </row>
    <row r="42" spans="1:4" x14ac:dyDescent="0.2">
      <c r="A42" t="s">
        <v>138</v>
      </c>
      <c r="B42">
        <f>B5+B13+B15+B34</f>
        <v>812</v>
      </c>
    </row>
    <row r="43" spans="1:4" x14ac:dyDescent="0.2">
      <c r="A43" t="s">
        <v>139</v>
      </c>
      <c r="B43" s="69">
        <f>B42/4</f>
        <v>203</v>
      </c>
    </row>
  </sheetData>
  <pageMargins left="0.7" right="0.7" top="0.75" bottom="0.75" header="0.3" footer="0.3"/>
  <pageSetup orientation="portrait" r:id="rId1"/>
  <headerFooter>
    <oddHeader>&amp;CCurrent Capstone/Experiential Requirements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CURRENTMODEL</vt:lpstr>
      <vt:lpstr>MODEL2019</vt:lpstr>
      <vt:lpstr>GenEdTiming</vt:lpstr>
      <vt:lpstr>CurrentCapstone</vt:lpstr>
      <vt:lpstr>CurrentCapstone!Print_Area</vt:lpstr>
    </vt:vector>
  </TitlesOfParts>
  <Company>Salisbury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Scott</dc:creator>
  <cp:lastModifiedBy>Microsoft Office User</cp:lastModifiedBy>
  <cp:lastPrinted>2019-03-29T14:33:55Z</cp:lastPrinted>
  <dcterms:created xsi:type="dcterms:W3CDTF">2019-02-16T21:42:28Z</dcterms:created>
  <dcterms:modified xsi:type="dcterms:W3CDTF">2020-11-10T14:44:07Z</dcterms:modified>
</cp:coreProperties>
</file>